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" windowWidth="15450" windowHeight="7125" tabRatio="631" activeTab="0"/>
  </bookViews>
  <sheets>
    <sheet name="Рейтинг" sheetId="1" r:id="rId1"/>
    <sheet name="Нарушения БК" sheetId="2" r:id="rId2"/>
    <sheet name="Оценки" sheetId="3" r:id="rId3"/>
    <sheet name="Индикаторы" sheetId="4" r:id="rId4"/>
    <sheet name="Данные" sheetId="5" r:id="rId5"/>
  </sheets>
  <externalReferences>
    <externalReference r:id="rId8"/>
  </externalReferences>
  <definedNames>
    <definedName name="_xlfn.IFERROR" hidden="1">#NAME?</definedName>
    <definedName name="OLE_LINK7" localSheetId="3">'Индикаторы'!#REF!</definedName>
    <definedName name="OLE_LINK7" localSheetId="1">'Нарушения БК'!#REF!</definedName>
    <definedName name="OLE_LINK7" localSheetId="2">'Оценки'!#REF!</definedName>
    <definedName name="Выбор">'[1]Справочник'!$B$30:$C$30</definedName>
    <definedName name="_xlnm.Print_Titles" localSheetId="4">'Данные'!$B:$E,'Данные'!$5:$5</definedName>
    <definedName name="_xlnm.Print_Titles" localSheetId="3">'Индикаторы'!$A:$B,'Индикаторы'!$5:$5</definedName>
    <definedName name="_xlnm.Print_Titles" localSheetId="1">'Нарушения БК'!$A:$B</definedName>
    <definedName name="_xlnm.Print_Titles" localSheetId="2">'Оценки'!$A:$B,'Оценки'!$4:$5</definedName>
    <definedName name="_xlnm.Print_Area" localSheetId="4">'Данные'!$B$1:$M$90</definedName>
    <definedName name="_xlnm.Print_Area" localSheetId="1">'Нарушения БК'!$A$1:$L$7</definedName>
    <definedName name="_xlnm.Print_Area" localSheetId="0">'Рейтинг'!$A$1:$G$14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F4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до предоставления протоколов заседаний
</t>
        </r>
      </text>
    </comment>
  </commentList>
</comments>
</file>

<file path=xl/sharedStrings.xml><?xml version="1.0" encoding="utf-8"?>
<sst xmlns="http://schemas.openxmlformats.org/spreadsheetml/2006/main" count="364" uniqueCount="218">
  <si>
    <t>№ п/п</t>
  </si>
  <si>
    <t>Утверждение бюджета на очередной финансовый год и плановый период</t>
  </si>
  <si>
    <t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t>
  </si>
  <si>
    <t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t>
  </si>
  <si>
    <t>Изучение мнения населения о качестве оказания муниципальных услуг в соответствии с установленным порядком</t>
  </si>
  <si>
    <t>Муниципальное образование</t>
  </si>
  <si>
    <t>Индикатор</t>
  </si>
  <si>
    <t>Формула расчета</t>
  </si>
  <si>
    <t>Нижнее пороговое значение</t>
  </si>
  <si>
    <t>Верхнее пороговое значение</t>
  </si>
  <si>
    <t>I. Планирование бюджета</t>
  </si>
  <si>
    <t>Своевременность принятия решения о бюджете</t>
  </si>
  <si>
    <t>II. Исполнение бюджета</t>
  </si>
  <si>
    <t>Количество изменений, внесенных в решение о бюджете муниципального образования</t>
  </si>
  <si>
    <t>III. Долговая политика</t>
  </si>
  <si>
    <t>IV. Оказание муниципальных услуг</t>
  </si>
  <si>
    <t>Доля бюджетных и автономных учреждений из общего количества муниципальных учреждений</t>
  </si>
  <si>
    <t>V. Прозрачность бюджетного процесса</t>
  </si>
  <si>
    <t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t>
  </si>
  <si>
    <t>MIN</t>
  </si>
  <si>
    <t>MAX</t>
  </si>
  <si>
    <t>1.1</t>
  </si>
  <si>
    <t>1.2</t>
  </si>
  <si>
    <t>1.3</t>
  </si>
  <si>
    <t>1.4</t>
  </si>
  <si>
    <t>1.5</t>
  </si>
  <si>
    <t>1.6</t>
  </si>
  <si>
    <t>Сводная оценка качества</t>
  </si>
  <si>
    <t>Оценки и рейтинг</t>
  </si>
  <si>
    <t>Итоговая сводная оценка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</si>
  <si>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</si>
  <si>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</si>
  <si>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</si>
  <si>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</si>
  <si>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</si>
  <si>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</si>
  <si>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</si>
  <si>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</si>
  <si>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</si>
  <si>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</si>
  <si>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</si>
  <si>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</si>
  <si>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</si>
  <si>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</si>
  <si>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</si>
  <si>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</si>
  <si>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</si>
  <si>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</si>
  <si>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</si>
  <si>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</si>
  <si>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</si>
  <si>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</si>
  <si>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</si>
  <si>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</si>
  <si>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Количество нарушений бюджетного законодательства</t>
  </si>
  <si>
    <t>Итого нарушений</t>
  </si>
  <si>
    <t>Рейтинг по итоговой сводной оценке</t>
  </si>
  <si>
    <t>Направление изменения индикатора, соответствующее повышению оценки качества (1 - увеличение; 0 - уменьшение)</t>
  </si>
  <si>
    <t>Учитывать индикатор в сводной оценке (1 - учитывать; 0 - не учитывать)</t>
  </si>
  <si>
    <t>1</t>
  </si>
  <si>
    <t>2</t>
  </si>
  <si>
    <t>3</t>
  </si>
  <si>
    <t>4</t>
  </si>
  <si>
    <t>Отношение объема расходов на обслуживание муниципального долга к общему объему расходов, за исключением объема расходов, которые осуществляются за счет субвенций, предоставляемых из бюджета автономного округа</t>
  </si>
  <si>
    <t>ВЕС</t>
  </si>
  <si>
    <t>Отношение объема заимствований муниципального образования в отчетном финансовом году к сумме, направляемой в отчетном финансовом году на финансирование дефицита бюджета и (или) погашение долговых обязательств местного бюджета</t>
  </si>
  <si>
    <t>И47 = (Nа + Nб)/N,
где
Nа – количество автономных учреждений в муниципальном образовании в отчетном финансовом году;
Nб – количество бюджетных учреждений в муниципальном образовании в отчетном финансовом году;
N – общее количество муниципальных учреждений в отчетном финансовом году</t>
  </si>
  <si>
    <t>5.6</t>
  </si>
  <si>
    <t>5.7</t>
  </si>
  <si>
    <t xml:space="preserve">И57 = 1 – М/12,
где:
М – количество месяцев в отчетном финансовом году, за которые бюджетная отчетность была представлена позже установленного срока </t>
  </si>
  <si>
    <t>Количество изменений, внесенных в решение о бюджете муниципального образования (в течение отчетного финансового года)</t>
  </si>
  <si>
    <t>Первоначально утвержденный решением о бюджете объем расходов в отчетном финансовом году</t>
  </si>
  <si>
    <t>Объем расходов в отчетном финансовом году</t>
  </si>
  <si>
    <t>Общее количество муниципальных учреждений в муниципальном образовании в отчетном финансовом году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</si>
  <si>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в отчетном финансовом году (за исключением субвенций)</t>
  </si>
  <si>
    <t>Количество бюджетных учреждений в муниципальном образовании в отчетном финансовом году</t>
  </si>
  <si>
    <t>Количество автономных учреждений в муниципальном образовании в отчетном финансовом году</t>
  </si>
  <si>
    <t>Ежемесячное размещение на официальном сайте органов местного самоуправления отчетов об исполнении бюджета муниципального образования</t>
  </si>
  <si>
    <t>Соблюдение ограничений по нормативам расходов на содержание органов местного самоуправления</t>
  </si>
  <si>
    <t xml:space="preserve">Количество месяцев в отчетном финансовом году, за которые бюджетная отчетность была представлена позже установленного срока </t>
  </si>
  <si>
    <t>Наименование показателя</t>
  </si>
  <si>
    <t>НАРУШЕНИЯ БЮДЖЕТНОГО КОДЕКСА</t>
  </si>
  <si>
    <t>Высокодотационное муниципальное образование (в соответствии с ч. 4 ст. 136 БК РФ)</t>
  </si>
  <si>
    <t>И21 = КИ, где КИ – количество изменений, внесенных в решение о бюджете муниципального образования</t>
  </si>
  <si>
    <t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t>
  </si>
  <si>
    <t>И22 = НД/НД-1
где:
НД – объем налоговых доходов бюджета  муниципального образования в отчетном финансовом году;
НД-1 – объем налоговых доходов бюджета муниципального образования в году, предшествующем отчетному финансовому году</t>
  </si>
  <si>
    <t>Темп роста поступлений неналоговых доходов бюджета муниципального образования к соответствующему периоду прошлого года</t>
  </si>
  <si>
    <t>И23 = ННД/ННД-1
где:
ННД – объем неналоговых доходов бюджета муниципального образования в отчетном финансовом году;
ННД-1 – объем неналоговых доходов бюджета муниципального образования в году, предшествующем отчетному финансовому году</t>
  </si>
  <si>
    <t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</si>
  <si>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И25 = РК4/((РК1 + РК2 + РК3)/3),
где:
РК1, РК2, РК3, РК4 – объем расходов бюджета муниципального образования в первом, втором, третьем и четвертом кварталах отчетного финансового года соответственно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t>
  </si>
  <si>
    <t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t>
  </si>
  <si>
    <t>И26 = КомпЖКУ / Р,
где:
КомпЖКУ –  объем расходов бюджета муниципального образования в отчетном финансовом году 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хозяйства;
Р – общий объем расходов бюджета муниципального образования в отчетном финансовом году</t>
  </si>
  <si>
    <t>Уровень долговой нагрузки на местный бюджет</t>
  </si>
  <si>
    <t>И33 = МД/Дс, 
где:
МД – объем муниципального долга бюджета  муниципального образования на 1 января текущего финансового года;
Дс – объем  доходов муниципального образования в отчетном финансовом году  (за исключением субвенций из бюджета автономного округа)</t>
  </si>
  <si>
    <t>3.3</t>
  </si>
  <si>
    <t>И45 = РМЗ / Р
где:
РМЗ – 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заданием;
Р – общий объем расходов местного бюджета в отчетном финансовом году (за исключением расходов, осуществляемых за счет субвенций из регионального фонда компенсаций)</t>
  </si>
  <si>
    <t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</si>
  <si>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Соблюдение установленных нормативов формирования расходов на содержание органов местного самоуправления за отчетный финансовый год</t>
  </si>
  <si>
    <t>Е2 = З / (Деф + Пог)*100,
где:
З – объем заимствований муниципального образования в отчетном финансовом году;
Деф – сумма, направленная в отчетном финансовом году на финансирование дефицита бюджета муниципального образования;
Пог – сумма, направленная в отчетном финансовом году на погашение долговых обязательств бюджета муниципального образования</t>
  </si>
  <si>
    <t>5</t>
  </si>
  <si>
    <t>Отношение объема расходов на обслуживание муниципального долга к объему расходов бюджета муниципального образования,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</si>
  <si>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E3 = ОД / Р*100,
где:
ОД – объем расходов бюджета муниципального образования на обслуживание муниципального долга в отчетном финансовом году;
Р – общий объем расходов бюджета муниципального образования в отчетном финансовом году, за исключением объема расходов, которые осуществляются за счет субвенций, предоставляемых из бюджетов бюджетной системы Российской Федерации в отчетном финансовом году</t>
  </si>
  <si>
    <t>Отношение дефицита бюджета муниципального образования к общему годовому объему доходов бюджета без учета объема безвозмездных поступлений и поступлений налоговых доходов по дополнительным нормативам отчислений в отчетном финансовом году</t>
  </si>
  <si>
    <t>E4 = Деф / СД*100,
где:
Деф – объем дефицита бюджета муниципального образования в отчетном финансовом году;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</si>
  <si>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Отношение объема муниципального долга муниципального образования к общему годовому объему доходов бюджета муниципального образования без учета объема безвозмездных поступлений и поступлений налоговых доходов по дополнительным нормативам отчислений</t>
  </si>
  <si>
    <t>E5 = МД / СД*100,
где:
МД – объем муниципального долга бюджета муниципального образования на 1 января текущего финансового года;
СД – объем доходов бюджета муниципального образования без учета безвозмездных поступлений и поступлений налоговых доходов по дополнительным нормативам отчислений в отчетном финансовом году</t>
  </si>
  <si>
    <t>Объем выплат, произведенных муниципальным образованием по муниципальным гарантиям, в отчетном финансовом году</t>
  </si>
  <si>
    <t>Объем муниципального долга по предоставленным муниципальным гарантиям на 1 января отчетного финансового года</t>
  </si>
  <si>
    <t>Объем муниципального долга бюджета  муниципального образования на 1 января текущего финансового года</t>
  </si>
  <si>
    <t>Своевременность принятия решения о бюджете муниципального образования (до или после 1 января текущего финансового года)</t>
  </si>
  <si>
    <t>Объем первоначально утвержденный решением о бюджете муниципального образования поступлений налоговых доходов  бюджета муниципального образованияв отчетном финансовом году</t>
  </si>
  <si>
    <t>Объем первоначально утвержденный решением о бюджете муниципального образования поступлений неналоговых доходов  бюджета муниципального образования в отчетном финансовом году</t>
  </si>
  <si>
    <t>Объем поступлений налоговых доходов бюджета муниципального образования в отчетном финансовом году</t>
  </si>
  <si>
    <t>Объем поступлений неналоговых доходов бюджета муниципального образования в отчетном финансовом году</t>
  </si>
  <si>
    <t>Наличие муниципального правового акта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</si>
  <si>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отчетном финансовом году</t>
  </si>
  <si>
    <t>Объем поступлений налоговых доходов бюджета муниципального образования (без учета налоговых доходов по дополнительным нормативам отчислений) в году, предшествующем отчетному финансовому году</t>
  </si>
  <si>
    <t>Объем поступлений неналоговых доходов бюджета муниципального образования в году, предшествующем отчетному финансовому году</t>
  </si>
  <si>
    <t>Объем  финансовых нарушений, выявленных по актам ревизии в отчетном финансовом году</t>
  </si>
  <si>
    <t xml:space="preserve">Объем расходов бюджета муниципального образования в первом квартале отчетного финансового года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
</t>
  </si>
  <si>
    <t>Объем расходов бюджета муниципального образования в первом квартале отчетного финансового года</t>
  </si>
  <si>
    <t>Объем расходов бюджета муниципального образования  в первом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</si>
  <si>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во втором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</si>
  <si>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во втором квартале отчетного финансового года</t>
  </si>
  <si>
    <t>Объем расходов бюджета муниципального образования во втором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</si>
  <si>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 в третьем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</si>
  <si>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 в третьем квартале отчетного финансового года</t>
  </si>
  <si>
    <t>Объем расходов бюджета муниципального образования в третьем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</si>
  <si>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четвертом квартале отчетного финансового года   (без учета расходов, осуществляемых за счет субсидий, субвенций и иных межбюджетных трансфертов, имеющих целевое назначение, поступивших из бюджета автономного округа)</t>
  </si>
  <si>
    <t>Объем расходов бюджета муниципального образования в четвертом квартале отчетного финансового года</t>
  </si>
  <si>
    <t>Объем расходов бюджета муниципального образования в четвертом квартале отчетного финансового года, осуществляемых за счет субсидий, субвенций и иных межбюджетных трансфертов, имеющих целевое назначение, поступивших из бюджета автономного округа</t>
  </si>
  <si>
    <t>Объем расходов бюджета муниципального образования в отчетном финансовом году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</t>
  </si>
  <si>
    <t>Объем просроченной кредиторской задолженности бюджета муниципального образования на 1 января текущего финансового года</t>
  </si>
  <si>
    <t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муниципальным правовым актом</t>
  </si>
  <si>
    <t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утвержденныммуниципальным правовым актом</t>
  </si>
  <si>
    <t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t>
  </si>
  <si>
    <t>Объем расходов местного бюджета в отчетном финансовом году на оказание муниципальных услуг (работ), оказываемых (выполняемых) в соответствии с муниципальным заданием</t>
  </si>
  <si>
    <t>Объем  доходов муниципального образования (за исключением субвенций из бюджета автономного округа) в отчетном финансовом году</t>
  </si>
  <si>
    <t xml:space="preserve">Исполнение бюджета муниципального образования Ханты-Мансийского автономного округа - Югры (далее - муниципальное образование) по доходам без учета безвозмездных поступлений </t>
  </si>
  <si>
    <t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t>
  </si>
  <si>
    <t>И13 = |Дисп – Дутв| / Дутв,
где:
Дисп – объем налоговых и неналоговых доходов  бюджета муниципального образования в отчетном финансовом году;
Дутв – объем первоначально утвержденный решением о бюджете объем налоговых и неналоговых доходов  бюджета муниципального образования</t>
  </si>
  <si>
    <t>До 1 января очередного финансового года / после 1 января очередного финансового года
(до 1 января: И12 = 1
после 1 января: И12 = 0)</t>
  </si>
  <si>
    <t xml:space="preserve">утверждается / не утверждается
(утверждается: И11 = 1
не утверждается: И11 = 0)
</t>
  </si>
  <si>
    <t>наличие / отсутствие
(наличие: И14 = 1
отсутствие: И14 = 0)</t>
  </si>
  <si>
    <t xml:space="preserve"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t>
  </si>
  <si>
    <t>наличие / отсутствие
(наличие: И29 = 1,
отсутствие: И29 = 0)</t>
  </si>
  <si>
    <t xml:space="preserve"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t>
  </si>
  <si>
    <t>наличие / отсутствие
(наличие: И210 = 1,
отсутствие: И210 = 0)</t>
  </si>
  <si>
    <t>выполняется / не выполняется
(выполняется: И42 = 1,
не выполняется: И42 = 0)</t>
  </si>
  <si>
    <t>наличие / отсутствие
(наличие:  И43 = 1,
отсутствие: И43 = 0)</t>
  </si>
  <si>
    <t>изучается / не изучается
(изучается: И46 = 1,
не изучается: И46 = 0)</t>
  </si>
  <si>
    <t>V. Открытость бюджетного процесса</t>
  </si>
  <si>
    <t>размещается / не размещается
(размещается: И51 = 1,
не размещается: И51 = 0)</t>
  </si>
  <si>
    <t>размещаются / не размещаются
(размещаются: И52 = 1,
не размещаются: И52 = 0)</t>
  </si>
  <si>
    <t>размещается / не размещается
(размещается: И54 = 1,
не размещается: И54 = 0)</t>
  </si>
  <si>
    <t>проводятся / не проводятся
(проводятся: И55 = 1,
не проводятся: И55 = 0)</t>
  </si>
  <si>
    <t>размещается / не размещается
(размещается: И56 = 1,
не размещается: И56 = 0)</t>
  </si>
  <si>
    <t>Соблюдается / не соблюдается
Соблюдается: E1 = 0
Не соблюдается: E1 = 1</t>
  </si>
  <si>
    <t>Таблица 5</t>
  </si>
  <si>
    <t>Отношение дефицита бюджета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поступления от продажи акций и иных форм участия в капитале, находящихся в собственности муниципального образования, и снижение остатков средств на счетах по учету средств местного бюджета в пределах суммы указанных поступлений и снижения остатков средств на счетах по учету средств местного бюджета, а также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 Если дефицит покрывается полностью, указывается 0.</t>
  </si>
  <si>
    <t>Отношение долга муниципального образования к общему годовому объему доходов бюджета без учета безвозмездных поступлений и поступлений налоговых доходов по дополнительным нормативам отчислений
В случае, если решением о бюджете утверждены такие источники финансирования дефицита бюджета, как 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Федерации, то указывается часть дефицита, не покрываемая за счет указанных источников.</t>
  </si>
  <si>
    <t>Новоаганск</t>
  </si>
  <si>
    <t>Аган</t>
  </si>
  <si>
    <t>Покур</t>
  </si>
  <si>
    <t>Вата</t>
  </si>
  <si>
    <t>Ваховск</t>
  </si>
  <si>
    <t>Ларьяк</t>
  </si>
  <si>
    <t>Средняя сводная оценка качества по поселениям</t>
  </si>
  <si>
    <t>Излучинск</t>
  </si>
  <si>
    <t>Проведение заседаний рабочих групп (комиссий) по мобилизации и расширению доходной базы, укреплению контроля за соблюдением налоговой дисциплины</t>
  </si>
  <si>
    <t>2.11</t>
  </si>
  <si>
    <t>Данные показателей для расчета индикаторов оценки качества организации и осуществления бюджетного процесса в муниципальных образованиях Нижневартовского района</t>
  </si>
  <si>
    <t>Индикаторы для оценки качества организации и осуществления бюджетного процесса в муниципальных образованиях Нижневартовского района</t>
  </si>
  <si>
    <t>Сводная оценка качества организации и осуществления бюджетного процесса в муниципальных образованиях Нижневартовского района</t>
  </si>
  <si>
    <t>№ индикатора для оценки</t>
  </si>
  <si>
    <t>Таблица 3</t>
  </si>
  <si>
    <t>Таблица 2</t>
  </si>
  <si>
    <t>Таблица 1</t>
  </si>
  <si>
    <t>Зайцева Речка</t>
  </si>
  <si>
    <t xml:space="preserve">Исполнение бюджета поселения по доходам без учета безвозмездных поступлений </t>
  </si>
  <si>
    <t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муниципального образования</t>
  </si>
  <si>
    <t>наличие / отсутствие
(имеется: И16 = 1,
не имеется: И16 = 0)</t>
  </si>
  <si>
    <t>Случаи отвлечения остатков целевых средств бюджета района муниципальными образованиями в отчетном финансовом году</t>
  </si>
  <si>
    <t xml:space="preserve">И24 = КО, где:
где:
КО – количество кварталов в отчетном финансо-вом году, в которые муниципальными образова-ниями производилось отвлечение остатков целе-вых средств
</t>
  </si>
  <si>
    <t>Отсутствие просроченной кредиторской за-долженности бюджета поселения в отчетном финансовом году на отчетные даты</t>
  </si>
  <si>
    <t xml:space="preserve">Наличие/отсутствие
(наличие: И27=0, 
отсутствие И27=1)
</t>
  </si>
  <si>
    <t>Отсутствие просроченной кредиторской за-долженности бюджета поселения по выплате заработной платы за счет средств местного бюджета</t>
  </si>
  <si>
    <t xml:space="preserve">Наличие/отсутствие
(наличие: И28=0, 
отсутствие И28=1)
</t>
  </si>
  <si>
    <t>Отсутствие просроченной задолженности по долговым обязательствам</t>
  </si>
  <si>
    <t>Отсутствие выплат поселением по предос-тавленным муниципальным гарантиям в отчетном финансовом году</t>
  </si>
  <si>
    <t xml:space="preserve">Наличие/отсутствие 
(наличие: И32 = 0
отсутствие: И32 = 1)
</t>
  </si>
  <si>
    <t xml:space="preserve">Наличие/отсутствие 
(наличие: И31 = 0
отсутствие: И31 = 1)
</t>
  </si>
  <si>
    <t>Доля руководителей муниципальных учреждений поселения для которых оплата труда определяется с учетом результатов их профессиональной деятельности</t>
  </si>
  <si>
    <t xml:space="preserve">И41 = РМУотпд/РМУ, где
РМУотпд- количество руководителей муници-пальных учреждений поселения, для которых оплата труда определяется с учетом результатов их профессиональной деятельности;
РМУ- количество руководителей муниципальных учреждений поселения
</t>
  </si>
  <si>
    <t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t>
  </si>
  <si>
    <t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t>
  </si>
  <si>
    <t xml:space="preserve">И44 = МУн / МУ
где:
МУн  – количество муниципальных учреждений в муниципальном образовании для которых уста-новлены количественно измеримые финансовые санкции (штрафы, изъятия) за нарушение усло-вий выполнения муниципальных в отчетном фи-нансовом году;
МУ – общее количество муниципальных учреж-дений, которым установлены муниципальные задания в отчетном финансовом году
</t>
  </si>
  <si>
    <t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t>
  </si>
  <si>
    <t>Своевременность предоставления бюджетной отчетности в Департамент финансов администрации района</t>
  </si>
  <si>
    <t>Объем расходов бюджета муниципального образования, осуществляемых за счет субвенций из  и субсидий , предоставляемых в рамках целевых программ района в отчетном финансовом году</t>
  </si>
  <si>
    <t xml:space="preserve">Объем планируемых к привлечению бюджетных кредитов от других бюджетов бюд-жетной системы, предусмотренных в каче-стве источника финансирования </t>
  </si>
  <si>
    <t>Отсутствие просроченной кредиторской задолженности бюджета муниципального образования  к общему объему расходов бюджета муниципального образования</t>
  </si>
  <si>
    <t>Отсутствие кредиторской задолженности бюджета муниципального образования по выплате заработной платы за счет средств местного бюджета на 1 января текущего финансового года</t>
  </si>
  <si>
    <t>Отсутствие  просроченной задолженности по долговым обязательствам по состоянию на 1 января текущего финансового года</t>
  </si>
  <si>
    <t>Отсутствие выплат поселением по представленным  муниципальным гарантиям в отчетном финансовом году</t>
  </si>
  <si>
    <t>Количество муниципальных учреждений в муниципальном образовании для которых установлены количественно измеримые финансовые санкции (штрафы, изъятия) за нарушение условий выполнения муниципальных заданий в отчетном финансовм году</t>
  </si>
  <si>
    <t>Общее количество муниципальных учреждений в муниципальном образовании которым установлены муниципальные задания в отчетном финансовом году</t>
  </si>
  <si>
    <t>количество руководителей муниципальных учреждений поселения</t>
  </si>
  <si>
    <t>количество руководителей муниципальных учреждений поселения, для которых оплата труда определяется с учетом результатов их профессиональной деятельности</t>
  </si>
  <si>
    <t>Наличие на официальном сайте органов местного самоуправления информационного ресурса (брошюры) "Бюджет для граждан"</t>
  </si>
  <si>
    <t>наличие / отсутствие
(проводится: И53 = 1,
не проводится: И53 = 0)</t>
  </si>
  <si>
    <t>Доля расходов бюджета муниципального образования,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и, предоставляемых в рамках целевых программ автономного округа)</t>
  </si>
  <si>
    <t>Объем расходов бюджета муниципального образования, формируемые в рамках муниципальных и ведомственных целевых программ в отчетном финансовом году</t>
  </si>
  <si>
    <t>Общий объем расходов местного бюджета, осуществляемых за счет субвенций в отчетном финансовом году</t>
  </si>
  <si>
    <t>Размещение на официальном сайте органов местного самоуправления информации о муниципальных  и ведомственных программах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t>
  </si>
  <si>
    <t>Сводная оценка качества организации и осуществления бюджетного процесса в муниципальных образованиях Нижневартовского района за 2015 год, рейтинг муниципальных образований района</t>
  </si>
  <si>
    <t>И15 = РП / Р,
где
РП –  расходы бюджета муниципального образования, формируемые в рамках муниципальных и ведомственных целевых программ в отчетном финансовом году;
Р – общий объем расходов бюджета муниципального образования (за исключением расходов, осуществляемых за счет субвенций и субсидий  предоставляемых в рамках  программ автономного округа) в отчетном финансовом году</t>
  </si>
  <si>
    <t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</si>
</sst>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[$-FC19]d\ mmmm\ yyyy\ &quot;г.&quot;"/>
    <numFmt numFmtId="180" formatCode="0.00000"/>
    <numFmt numFmtId="181" formatCode="0.0000"/>
    <numFmt numFmtId="182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u val="single"/>
      <sz val="8.5"/>
      <color indexed="12"/>
      <name val="Times New Roman"/>
      <family val="2"/>
    </font>
    <font>
      <sz val="10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name val="Calibri"/>
      <family val="2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 wrapText="1"/>
    </xf>
    <xf numFmtId="9" fontId="56" fillId="0" borderId="10" xfId="6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 wrapText="1"/>
    </xf>
    <xf numFmtId="173" fontId="57" fillId="0" borderId="0" xfId="0" applyNumberFormat="1" applyFont="1" applyFill="1" applyAlignment="1">
      <alignment/>
    </xf>
    <xf numFmtId="0" fontId="57" fillId="0" borderId="11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left" vertical="center" wrapText="1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3" fontId="58" fillId="0" borderId="10" xfId="0" applyNumberFormat="1" applyFont="1" applyFill="1" applyBorder="1" applyAlignment="1">
      <alignment horizontal="center" vertical="center" wrapText="1"/>
    </xf>
    <xf numFmtId="0" fontId="8" fillId="10" borderId="10" xfId="54" applyFont="1" applyFill="1" applyBorder="1" applyAlignment="1">
      <alignment horizontal="left" vertical="center" wrapText="1"/>
      <protection/>
    </xf>
    <xf numFmtId="49" fontId="8" fillId="10" borderId="10" xfId="54" applyNumberFormat="1" applyFont="1" applyFill="1" applyBorder="1" applyAlignment="1">
      <alignment horizontal="center" vertical="center" wrapText="1"/>
      <protection/>
    </xf>
    <xf numFmtId="3" fontId="58" fillId="10" borderId="10" xfId="0" applyNumberFormat="1" applyFont="1" applyFill="1" applyBorder="1" applyAlignment="1">
      <alignment horizontal="center" vertical="center" wrapText="1"/>
    </xf>
    <xf numFmtId="173" fontId="58" fillId="1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7" fillId="0" borderId="0" xfId="0" applyNumberFormat="1" applyFont="1" applyFill="1" applyAlignment="1">
      <alignment horizontal="center"/>
    </xf>
    <xf numFmtId="0" fontId="59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center" vertical="center" wrapText="1"/>
    </xf>
    <xf numFmtId="4" fontId="58" fillId="0" borderId="10" xfId="0" applyNumberFormat="1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2" fontId="60" fillId="0" borderId="10" xfId="0" applyNumberFormat="1" applyFont="1" applyFill="1" applyBorder="1" applyAlignment="1">
      <alignment horizontal="left" vertical="center" wrapText="1"/>
    </xf>
    <xf numFmtId="2" fontId="61" fillId="0" borderId="12" xfId="0" applyNumberFormat="1" applyFont="1" applyFill="1" applyBorder="1" applyAlignment="1">
      <alignment vertical="center" wrapText="1"/>
    </xf>
    <xf numFmtId="2" fontId="58" fillId="0" borderId="10" xfId="0" applyNumberFormat="1" applyFont="1" applyFill="1" applyBorder="1" applyAlignment="1">
      <alignment horizontal="left" vertical="center" wrapText="1"/>
    </xf>
    <xf numFmtId="0" fontId="60" fillId="10" borderId="10" xfId="0" applyFont="1" applyFill="1" applyBorder="1" applyAlignment="1">
      <alignment horizontal="left" vertical="center" wrapText="1"/>
    </xf>
    <xf numFmtId="4" fontId="58" fillId="10" borderId="10" xfId="0" applyNumberFormat="1" applyFont="1" applyFill="1" applyBorder="1" applyAlignment="1">
      <alignment horizontal="center" vertical="center" wrapText="1"/>
    </xf>
    <xf numFmtId="2" fontId="60" fillId="10" borderId="10" xfId="0" applyNumberFormat="1" applyFont="1" applyFill="1" applyBorder="1" applyAlignment="1">
      <alignment horizontal="left" vertical="center" wrapText="1"/>
    </xf>
    <xf numFmtId="2" fontId="58" fillId="10" borderId="10" xfId="0" applyNumberFormat="1" applyFont="1" applyFill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/>
    </xf>
    <xf numFmtId="49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172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 wrapText="1"/>
    </xf>
    <xf numFmtId="2" fontId="58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left" vertical="center" wrapText="1"/>
    </xf>
    <xf numFmtId="172" fontId="58" fillId="0" borderId="10" xfId="0" applyNumberFormat="1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horizontal="center" vertical="center"/>
    </xf>
    <xf numFmtId="0" fontId="57" fillId="34" borderId="0" xfId="0" applyFont="1" applyFill="1" applyAlignment="1">
      <alignment/>
    </xf>
    <xf numFmtId="2" fontId="60" fillId="0" borderId="12" xfId="0" applyNumberFormat="1" applyFont="1" applyFill="1" applyBorder="1" applyAlignment="1">
      <alignment horizontal="left" vertical="center" wrapText="1"/>
    </xf>
    <xf numFmtId="172" fontId="58" fillId="0" borderId="13" xfId="0" applyNumberFormat="1" applyFont="1" applyFill="1" applyBorder="1" applyAlignment="1">
      <alignment horizontal="center" vertical="center" wrapText="1"/>
    </xf>
    <xf numFmtId="2" fontId="61" fillId="34" borderId="12" xfId="0" applyNumberFormat="1" applyFont="1" applyFill="1" applyBorder="1" applyAlignment="1">
      <alignment vertical="center" wrapText="1"/>
    </xf>
    <xf numFmtId="2" fontId="61" fillId="34" borderId="13" xfId="0" applyNumberFormat="1" applyFont="1" applyFill="1" applyBorder="1" applyAlignment="1">
      <alignment vertical="center" wrapText="1"/>
    </xf>
    <xf numFmtId="2" fontId="61" fillId="34" borderId="14" xfId="0" applyNumberFormat="1" applyFont="1" applyFill="1" applyBorder="1" applyAlignment="1">
      <alignment vertical="center" wrapText="1"/>
    </xf>
    <xf numFmtId="2" fontId="58" fillId="34" borderId="10" xfId="0" applyNumberFormat="1" applyFont="1" applyFill="1" applyBorder="1" applyAlignment="1">
      <alignment vertical="center"/>
    </xf>
    <xf numFmtId="2" fontId="58" fillId="34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0" xfId="0" applyFont="1" applyAlignment="1">
      <alignment/>
    </xf>
    <xf numFmtId="1" fontId="55" fillId="0" borderId="10" xfId="0" applyNumberFormat="1" applyFont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" fontId="59" fillId="33" borderId="10" xfId="0" applyNumberFormat="1" applyFont="1" applyFill="1" applyBorder="1" applyAlignment="1">
      <alignment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1" fontId="61" fillId="34" borderId="13" xfId="0" applyNumberFormat="1" applyFont="1" applyFill="1" applyBorder="1" applyAlignment="1">
      <alignment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/>
    </xf>
    <xf numFmtId="0" fontId="60" fillId="0" borderId="10" xfId="0" applyFont="1" applyFill="1" applyBorder="1" applyAlignment="1">
      <alignment horizontal="left" vertical="top" wrapText="1"/>
    </xf>
    <xf numFmtId="0" fontId="61" fillId="34" borderId="12" xfId="0" applyFont="1" applyFill="1" applyBorder="1" applyAlignment="1">
      <alignment vertical="top" wrapText="1"/>
    </xf>
    <xf numFmtId="0" fontId="60" fillId="0" borderId="12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56" fillId="0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center"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left"/>
    </xf>
    <xf numFmtId="0" fontId="8" fillId="0" borderId="0" xfId="0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33" fillId="0" borderId="0" xfId="0" applyNumberFormat="1" applyFont="1" applyFill="1" applyAlignment="1">
      <alignment/>
    </xf>
    <xf numFmtId="2" fontId="59" fillId="0" borderId="10" xfId="0" applyNumberFormat="1" applyFont="1" applyBorder="1" applyAlignment="1">
      <alignment horizontal="center" vertical="center" wrapText="1"/>
    </xf>
    <xf numFmtId="2" fontId="58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vertical="center" wrapText="1"/>
    </xf>
    <xf numFmtId="49" fontId="58" fillId="0" borderId="12" xfId="0" applyNumberFormat="1" applyFont="1" applyFill="1" applyBorder="1" applyAlignment="1">
      <alignment horizontal="center" vertical="center" wrapText="1"/>
    </xf>
    <xf numFmtId="2" fontId="58" fillId="0" borderId="14" xfId="0" applyNumberFormat="1" applyFont="1" applyFill="1" applyBorder="1" applyAlignment="1">
      <alignment horizontal="left" vertical="center" wrapText="1"/>
    </xf>
    <xf numFmtId="0" fontId="59" fillId="33" borderId="15" xfId="0" applyFont="1" applyFill="1" applyBorder="1" applyAlignment="1">
      <alignment vertical="center" wrapText="1"/>
    </xf>
    <xf numFmtId="2" fontId="60" fillId="0" borderId="19" xfId="0" applyNumberFormat="1" applyFont="1" applyFill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63" fillId="0" borderId="10" xfId="54" applyFont="1" applyFill="1" applyBorder="1" applyAlignment="1">
      <alignment horizontal="left" vertical="center" wrapText="1"/>
      <protection/>
    </xf>
    <xf numFmtId="49" fontId="63" fillId="0" borderId="10" xfId="54" applyNumberFormat="1" applyFont="1" applyFill="1" applyBorder="1" applyAlignment="1">
      <alignment horizontal="center" vertical="center" wrapText="1"/>
      <protection/>
    </xf>
    <xf numFmtId="3" fontId="63" fillId="0" borderId="10" xfId="0" applyNumberFormat="1" applyFont="1" applyFill="1" applyBorder="1" applyAlignment="1">
      <alignment horizontal="center" vertical="center" wrapText="1"/>
    </xf>
    <xf numFmtId="173" fontId="63" fillId="0" borderId="10" xfId="0" applyNumberFormat="1" applyFont="1" applyFill="1" applyBorder="1" applyAlignment="1">
      <alignment horizontal="center" vertical="center" wrapText="1"/>
    </xf>
    <xf numFmtId="172" fontId="63" fillId="0" borderId="10" xfId="0" applyNumberFormat="1" applyFont="1" applyFill="1" applyBorder="1" applyAlignment="1">
      <alignment horizontal="center" vertical="center"/>
    </xf>
    <xf numFmtId="0" fontId="63" fillId="0" borderId="10" xfId="54" applyFont="1" applyFill="1" applyBorder="1" applyAlignment="1">
      <alignment horizontal="center" vertical="center"/>
      <protection/>
    </xf>
    <xf numFmtId="0" fontId="63" fillId="10" borderId="12" xfId="54" applyFont="1" applyFill="1" applyBorder="1" applyAlignment="1">
      <alignment horizontal="left" vertical="center" wrapText="1"/>
      <protection/>
    </xf>
    <xf numFmtId="49" fontId="63" fillId="10" borderId="10" xfId="54" applyNumberFormat="1" applyFont="1" applyFill="1" applyBorder="1" applyAlignment="1">
      <alignment horizontal="center" vertical="center" wrapText="1"/>
      <protection/>
    </xf>
    <xf numFmtId="3" fontId="63" fillId="10" borderId="10" xfId="0" applyNumberFormat="1" applyFont="1" applyFill="1" applyBorder="1" applyAlignment="1">
      <alignment horizontal="center" vertical="center" wrapText="1"/>
    </xf>
    <xf numFmtId="3" fontId="63" fillId="10" borderId="10" xfId="0" applyNumberFormat="1" applyFont="1" applyFill="1" applyBorder="1" applyAlignment="1">
      <alignment horizontal="center" vertical="center"/>
    </xf>
    <xf numFmtId="1" fontId="63" fillId="10" borderId="10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2" fontId="60" fillId="0" borderId="10" xfId="0" applyNumberFormat="1" applyFont="1" applyFill="1" applyBorder="1" applyAlignment="1">
      <alignment horizontal="left" vertical="top" wrapText="1"/>
    </xf>
    <xf numFmtId="0" fontId="8" fillId="35" borderId="10" xfId="54" applyFont="1" applyFill="1" applyBorder="1" applyAlignment="1">
      <alignment horizontal="left" vertical="center" wrapText="1"/>
      <protection/>
    </xf>
    <xf numFmtId="49" fontId="8" fillId="35" borderId="10" xfId="54" applyNumberFormat="1" applyFont="1" applyFill="1" applyBorder="1" applyAlignment="1">
      <alignment horizontal="center" vertical="center" wrapText="1"/>
      <protection/>
    </xf>
    <xf numFmtId="3" fontId="63" fillId="35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 wrapText="1"/>
    </xf>
    <xf numFmtId="173" fontId="63" fillId="0" borderId="10" xfId="0" applyNumberFormat="1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172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3" fontId="8" fillId="10" borderId="10" xfId="0" applyNumberFormat="1" applyFont="1" applyFill="1" applyBorder="1" applyAlignment="1">
      <alignment horizontal="center" vertical="center" wrapText="1"/>
    </xf>
    <xf numFmtId="1" fontId="8" fillId="10" borderId="10" xfId="0" applyNumberFormat="1" applyFont="1" applyFill="1" applyBorder="1" applyAlignment="1">
      <alignment horizontal="center" vertical="center"/>
    </xf>
    <xf numFmtId="3" fontId="8" fillId="1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4" fontId="8" fillId="10" borderId="10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73" fontId="8" fillId="10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1" fontId="8" fillId="35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73" fontId="58" fillId="0" borderId="10" xfId="0" applyNumberFormat="1" applyFont="1" applyFill="1" applyBorder="1" applyAlignment="1">
      <alignment horizontal="center" vertical="center"/>
    </xf>
    <xf numFmtId="173" fontId="58" fillId="0" borderId="10" xfId="0" applyNumberFormat="1" applyFont="1" applyFill="1" applyBorder="1" applyAlignment="1">
      <alignment horizontal="center" vertical="center" wrapText="1"/>
    </xf>
    <xf numFmtId="4" fontId="8" fillId="10" borderId="10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 wrapText="1"/>
    </xf>
    <xf numFmtId="173" fontId="58" fillId="35" borderId="10" xfId="0" applyNumberFormat="1" applyFont="1" applyFill="1" applyBorder="1" applyAlignment="1">
      <alignment horizontal="center" vertical="center" wrapText="1"/>
    </xf>
    <xf numFmtId="9" fontId="8" fillId="0" borderId="10" xfId="60" applyFont="1" applyFill="1" applyBorder="1" applyAlignment="1">
      <alignment horizontal="center" vertical="center" wrapText="1"/>
    </xf>
    <xf numFmtId="10" fontId="8" fillId="0" borderId="10" xfId="60" applyNumberFormat="1" applyFont="1" applyFill="1" applyBorder="1" applyAlignment="1">
      <alignment horizontal="center" vertical="center" wrapText="1"/>
    </xf>
    <xf numFmtId="10" fontId="8" fillId="35" borderId="10" xfId="6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/>
    </xf>
    <xf numFmtId="1" fontId="8" fillId="1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0" fontId="62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Процентный 4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_srv_file\Work\&#1061;&#1052;&#1040;&#1054;\Project%202010\Data\2011-01-31%20&#1054;&#1090;%20&#1043;&#1083;&#1077;&#1073;&#1072;\&#1085;&#1072;&#1084;&#1077;&#1090;&#1082;&#1080;%20&#1076;&#1083;&#1103;%20&#1084;&#1086;&#1076;&#1077;&#1083;&#1080;%20(&#1057;&#1084;&#1086;&#1083;&#1077;&#1085;&#1089;&#1082;&#1072;&#11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Ввод"/>
      <sheetName val="Результат"/>
      <sheetName val="Данные"/>
      <sheetName val="Показатели"/>
      <sheetName val="Баллы"/>
      <sheetName val="Оценка"/>
      <sheetName val="Рейтинг"/>
      <sheetName val="Распределение средств"/>
      <sheetName val="Диаграммы"/>
      <sheetName val="Рис1"/>
      <sheetName val="Рис2"/>
      <sheetName val="Рис3"/>
    </sheetNames>
    <sheetDataSet>
      <sheetData sheetId="0">
        <row r="30">
          <cell r="B3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J1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6.421875" style="84" customWidth="1"/>
    <col min="2" max="2" width="25.28125" style="85" customWidth="1"/>
    <col min="3" max="3" width="21.57421875" style="84" customWidth="1"/>
    <col min="4" max="4" width="19.140625" style="84" customWidth="1"/>
    <col min="5" max="5" width="22.421875" style="84" customWidth="1"/>
    <col min="6" max="6" width="15.00390625" style="84" customWidth="1"/>
    <col min="7" max="7" width="15.421875" style="84" customWidth="1"/>
    <col min="8" max="8" width="9.140625" style="84" customWidth="1"/>
    <col min="9" max="9" width="11.57421875" style="84" bestFit="1" customWidth="1"/>
    <col min="10" max="16384" width="9.140625" style="84" customWidth="1"/>
  </cols>
  <sheetData>
    <row r="1" ht="18.75">
      <c r="G1" s="84" t="s">
        <v>158</v>
      </c>
    </row>
    <row r="2" spans="1:7" ht="45" customHeight="1">
      <c r="A2" s="165" t="s">
        <v>215</v>
      </c>
      <c r="B2" s="165"/>
      <c r="C2" s="165"/>
      <c r="D2" s="165"/>
      <c r="E2" s="165"/>
      <c r="F2" s="165"/>
      <c r="G2" s="165"/>
    </row>
    <row r="3" ht="19.5" thickBot="1"/>
    <row r="4" spans="1:10" ht="27" customHeight="1">
      <c r="A4" s="166" t="s">
        <v>0</v>
      </c>
      <c r="B4" s="168" t="s">
        <v>5</v>
      </c>
      <c r="C4" s="170" t="s">
        <v>28</v>
      </c>
      <c r="D4" s="171"/>
      <c r="E4" s="171"/>
      <c r="F4" s="171"/>
      <c r="G4" s="172"/>
      <c r="H4" s="86"/>
      <c r="I4" s="86"/>
      <c r="J4" s="86"/>
    </row>
    <row r="5" spans="1:10" ht="162" customHeight="1" thickBot="1">
      <c r="A5" s="167"/>
      <c r="B5" s="169"/>
      <c r="C5" s="87" t="s">
        <v>82</v>
      </c>
      <c r="D5" s="87" t="s">
        <v>27</v>
      </c>
      <c r="E5" s="87" t="s">
        <v>54</v>
      </c>
      <c r="F5" s="87" t="s">
        <v>29</v>
      </c>
      <c r="G5" s="87" t="s">
        <v>56</v>
      </c>
      <c r="H5" s="88"/>
      <c r="I5" s="88"/>
      <c r="J5" s="88"/>
    </row>
    <row r="6" spans="1:10" ht="57" thickBot="1">
      <c r="A6" s="89"/>
      <c r="B6" s="90" t="s">
        <v>167</v>
      </c>
      <c r="C6" s="91"/>
      <c r="D6" s="91">
        <f>AVERAGE(D7:D14)</f>
        <v>43.48674473517382</v>
      </c>
      <c r="E6" s="91"/>
      <c r="F6" s="91">
        <f>AVERAGE(F7:F14)</f>
        <v>43.48674473517382</v>
      </c>
      <c r="G6" s="91"/>
      <c r="H6" s="88"/>
      <c r="I6" s="88"/>
      <c r="J6" s="88"/>
    </row>
    <row r="7" spans="1:10" ht="18.75">
      <c r="A7" s="92">
        <v>1</v>
      </c>
      <c r="B7" s="93" t="s">
        <v>168</v>
      </c>
      <c r="C7" s="94">
        <v>1</v>
      </c>
      <c r="D7" s="95">
        <f>HLOOKUP(B7,Оценки!$A$4:$P$6,2,0)</f>
        <v>44.34592189327314</v>
      </c>
      <c r="E7" s="94">
        <f>HLOOKUP(B7,'Нарушения БК'!$F$1:$M$7,ROW('Нарушения БК'!$A$7),0)</f>
        <v>0</v>
      </c>
      <c r="F7" s="95">
        <f>(1-0.05*E7)*D7</f>
        <v>44.34592189327314</v>
      </c>
      <c r="G7" s="94">
        <f aca="true" t="shared" si="0" ref="G7:G14">RANK(F7,$F$7:$F$14,0)</f>
        <v>2</v>
      </c>
      <c r="H7" s="88"/>
      <c r="I7" s="88"/>
      <c r="J7" s="88"/>
    </row>
    <row r="8" spans="1:10" ht="18.75">
      <c r="A8" s="96">
        <v>2</v>
      </c>
      <c r="B8" s="97" t="s">
        <v>161</v>
      </c>
      <c r="C8" s="98">
        <v>1</v>
      </c>
      <c r="D8" s="99">
        <f>HLOOKUP(B8,Оценки!$A$4:$P$6,2,0)</f>
        <v>44.29906914204207</v>
      </c>
      <c r="E8" s="98">
        <f>HLOOKUP(B8,'Нарушения БК'!$F$1:$M$7,ROW('Нарушения БК'!$A$7),0)</f>
        <v>0</v>
      </c>
      <c r="F8" s="99">
        <f aca="true" t="shared" si="1" ref="F8:F14">(1-0.05*E8)*D8</f>
        <v>44.29906914204207</v>
      </c>
      <c r="G8" s="94">
        <f t="shared" si="0"/>
        <v>3</v>
      </c>
      <c r="H8" s="88"/>
      <c r="I8" s="88"/>
      <c r="J8" s="88"/>
    </row>
    <row r="9" spans="1:10" ht="18.75">
      <c r="A9" s="96">
        <v>3</v>
      </c>
      <c r="B9" s="97" t="s">
        <v>162</v>
      </c>
      <c r="C9" s="98">
        <v>1</v>
      </c>
      <c r="D9" s="99">
        <f>HLOOKUP(B9,Оценки!$A$4:$P$6,2,0)</f>
        <v>37.51087007075475</v>
      </c>
      <c r="E9" s="98">
        <f>HLOOKUP(B9,'Нарушения БК'!$F$1:$M$7,ROW('Нарушения БК'!$A$7),0)</f>
        <v>0</v>
      </c>
      <c r="F9" s="99">
        <f t="shared" si="1"/>
        <v>37.51087007075475</v>
      </c>
      <c r="G9" s="94">
        <f t="shared" si="0"/>
        <v>8</v>
      </c>
      <c r="H9" s="88"/>
      <c r="I9" s="88"/>
      <c r="J9" s="88"/>
    </row>
    <row r="10" spans="1:10" ht="18.75">
      <c r="A10" s="96">
        <v>4</v>
      </c>
      <c r="B10" s="97" t="s">
        <v>163</v>
      </c>
      <c r="C10" s="98">
        <v>1</v>
      </c>
      <c r="D10" s="99">
        <f>HLOOKUP(B10,Оценки!$A$4:$P$6,2,0)</f>
        <v>39.66848455636355</v>
      </c>
      <c r="E10" s="98">
        <f>HLOOKUP(B10,'Нарушения БК'!$F$1:$M$7,ROW('Нарушения БК'!$A$7),0)</f>
        <v>0</v>
      </c>
      <c r="F10" s="99">
        <f t="shared" si="1"/>
        <v>39.66848455636355</v>
      </c>
      <c r="G10" s="94">
        <f t="shared" si="0"/>
        <v>7</v>
      </c>
      <c r="H10" s="88"/>
      <c r="I10" s="88"/>
      <c r="J10" s="88"/>
    </row>
    <row r="11" spans="1:10" ht="18.75">
      <c r="A11" s="96">
        <v>5</v>
      </c>
      <c r="B11" s="97" t="s">
        <v>164</v>
      </c>
      <c r="C11" s="98">
        <v>1</v>
      </c>
      <c r="D11" s="99">
        <f>HLOOKUP(B11,Оценки!$A$4:$P$6,2,0)</f>
        <v>43.04390630009045</v>
      </c>
      <c r="E11" s="98">
        <f>HLOOKUP(B11,'Нарушения БК'!$F$1:$M$7,ROW('Нарушения БК'!$A$7),0)</f>
        <v>0</v>
      </c>
      <c r="F11" s="99">
        <f t="shared" si="1"/>
        <v>43.04390630009045</v>
      </c>
      <c r="G11" s="94">
        <f t="shared" si="0"/>
        <v>4</v>
      </c>
      <c r="H11" s="88"/>
      <c r="I11" s="88"/>
      <c r="J11" s="88"/>
    </row>
    <row r="12" spans="1:10" ht="18.75">
      <c r="A12" s="96">
        <v>6</v>
      </c>
      <c r="B12" s="97" t="s">
        <v>165</v>
      </c>
      <c r="C12" s="98">
        <v>1</v>
      </c>
      <c r="D12" s="99">
        <f>HLOOKUP(B12,Оценки!$A$4:$P$6,2,0)</f>
        <v>55.247553243691556</v>
      </c>
      <c r="E12" s="98">
        <f>HLOOKUP(B12,'Нарушения БК'!$F$1:$M$7,ROW('Нарушения БК'!$A$7),0)</f>
        <v>0</v>
      </c>
      <c r="F12" s="99">
        <f t="shared" si="1"/>
        <v>55.247553243691556</v>
      </c>
      <c r="G12" s="94">
        <f t="shared" si="0"/>
        <v>1</v>
      </c>
      <c r="H12" s="88"/>
      <c r="I12" s="88"/>
      <c r="J12" s="88"/>
    </row>
    <row r="13" spans="1:10" ht="18.75">
      <c r="A13" s="96">
        <v>7</v>
      </c>
      <c r="B13" s="97" t="s">
        <v>166</v>
      </c>
      <c r="C13" s="98">
        <v>1</v>
      </c>
      <c r="D13" s="99">
        <f>HLOOKUP(B13,Оценки!$A$4:$P$6,2,0)</f>
        <v>40.74895479372106</v>
      </c>
      <c r="E13" s="98">
        <f>HLOOKUP(B13,'Нарушения БК'!$F$1:$M$7,ROW('Нарушения БК'!$A$7),0)</f>
        <v>0</v>
      </c>
      <c r="F13" s="99">
        <f t="shared" si="1"/>
        <v>40.74895479372106</v>
      </c>
      <c r="G13" s="94">
        <f t="shared" si="0"/>
        <v>6</v>
      </c>
      <c r="H13" s="88"/>
      <c r="I13" s="88"/>
      <c r="J13" s="88"/>
    </row>
    <row r="14" spans="1:10" ht="18.75">
      <c r="A14" s="106">
        <v>8</v>
      </c>
      <c r="B14" s="97" t="s">
        <v>178</v>
      </c>
      <c r="C14" s="98">
        <v>1</v>
      </c>
      <c r="D14" s="99">
        <f>HLOOKUP(B14,Оценки!$A$4:$P$6,2,0)</f>
        <v>43.02919788145397</v>
      </c>
      <c r="E14" s="98">
        <f>HLOOKUP(B14,'Нарушения БК'!$F$1:$M$7,ROW('Нарушения БК'!$A$7),0)</f>
        <v>0</v>
      </c>
      <c r="F14" s="99">
        <f t="shared" si="1"/>
        <v>43.02919788145397</v>
      </c>
      <c r="G14" s="94">
        <f t="shared" si="0"/>
        <v>5</v>
      </c>
      <c r="H14" s="88"/>
      <c r="I14" s="88"/>
      <c r="J14" s="88"/>
    </row>
    <row r="15" spans="1:7" ht="18.75">
      <c r="A15" s="100"/>
      <c r="B15" s="101"/>
      <c r="C15" s="102"/>
      <c r="D15" s="102"/>
      <c r="E15" s="102"/>
      <c r="F15" s="102"/>
      <c r="G15" s="102"/>
    </row>
    <row r="16" spans="4:6" ht="18.75">
      <c r="D16" s="103"/>
      <c r="F16" s="103"/>
    </row>
    <row r="17" ht="18.75">
      <c r="F17" s="103"/>
    </row>
  </sheetData>
  <sheetProtection/>
  <mergeCells count="4">
    <mergeCell ref="A2:G2"/>
    <mergeCell ref="A4:A5"/>
    <mergeCell ref="B4:B5"/>
    <mergeCell ref="C4:G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1"/>
  <dimension ref="A1:M7"/>
  <sheetViews>
    <sheetView zoomScale="70" zoomScaleNormal="70" zoomScalePageLayoutView="0" workbookViewId="0" topLeftCell="A4">
      <selection activeCell="A6" sqref="A6:IV6"/>
    </sheetView>
  </sheetViews>
  <sheetFormatPr defaultColWidth="9.140625" defaultRowHeight="15"/>
  <cols>
    <col min="1" max="1" width="4.140625" style="66" bestFit="1" customWidth="1"/>
    <col min="2" max="2" width="49.00390625" style="67" customWidth="1"/>
    <col min="3" max="3" width="44.140625" style="67" customWidth="1"/>
    <col min="4" max="4" width="12.7109375" style="67" customWidth="1"/>
    <col min="5" max="5" width="13.00390625" style="67" customWidth="1"/>
    <col min="6" max="6" width="12.140625" style="67" customWidth="1"/>
    <col min="7" max="7" width="12.8515625" style="67" customWidth="1"/>
    <col min="8" max="8" width="11.57421875" style="67" bestFit="1" customWidth="1"/>
    <col min="9" max="9" width="12.28125" style="67" customWidth="1"/>
    <col min="10" max="10" width="10.421875" style="67" customWidth="1"/>
    <col min="11" max="11" width="8.57421875" style="67" customWidth="1"/>
    <col min="12" max="12" width="10.7109375" style="67" bestFit="1" customWidth="1"/>
    <col min="13" max="16384" width="9.140625" style="67" customWidth="1"/>
  </cols>
  <sheetData>
    <row r="1" spans="1:13" ht="47.25">
      <c r="A1" s="1" t="s">
        <v>0</v>
      </c>
      <c r="B1" s="1" t="s">
        <v>6</v>
      </c>
      <c r="C1" s="1" t="s">
        <v>7</v>
      </c>
      <c r="D1" s="1" t="s">
        <v>8</v>
      </c>
      <c r="E1" s="1" t="s">
        <v>9</v>
      </c>
      <c r="F1" s="7" t="s">
        <v>168</v>
      </c>
      <c r="G1" s="7" t="s">
        <v>161</v>
      </c>
      <c r="H1" s="7" t="s">
        <v>162</v>
      </c>
      <c r="I1" s="7" t="s">
        <v>163</v>
      </c>
      <c r="J1" s="7" t="s">
        <v>164</v>
      </c>
      <c r="K1" s="7" t="s">
        <v>165</v>
      </c>
      <c r="L1" s="7" t="s">
        <v>166</v>
      </c>
      <c r="M1" s="7" t="s">
        <v>178</v>
      </c>
    </row>
    <row r="2" spans="1:13" ht="78" customHeight="1">
      <c r="A2" s="5" t="s">
        <v>59</v>
      </c>
      <c r="B2" s="78" t="s">
        <v>97</v>
      </c>
      <c r="C2" s="82" t="s">
        <v>157</v>
      </c>
      <c r="D2" s="2">
        <v>0</v>
      </c>
      <c r="E2" s="2">
        <v>1</v>
      </c>
      <c r="F2" s="4">
        <f>1*IF(Данные!F86=0,)</f>
        <v>0</v>
      </c>
      <c r="G2" s="4">
        <f>1*IF(Данные!G86=0,)</f>
        <v>0</v>
      </c>
      <c r="H2" s="4">
        <f>1*IF(Данные!H86=0,)</f>
        <v>0</v>
      </c>
      <c r="I2" s="4">
        <f>1*IF(Данные!I86=0,)</f>
        <v>0</v>
      </c>
      <c r="J2" s="4">
        <f>1*IF(Данные!J86=0,)</f>
        <v>0</v>
      </c>
      <c r="K2" s="4">
        <f>1*IF(Данные!K86=0,)</f>
        <v>0</v>
      </c>
      <c r="L2" s="4">
        <f>1*IF(Данные!L86=0,)</f>
        <v>0</v>
      </c>
      <c r="M2" s="4">
        <f>1*IF(Данные!M86=0,)</f>
        <v>0</v>
      </c>
    </row>
    <row r="3" spans="1:13" ht="164.25" customHeight="1">
      <c r="A3" s="5" t="s">
        <v>60</v>
      </c>
      <c r="B3" s="78" t="s">
        <v>65</v>
      </c>
      <c r="C3" s="82" t="s">
        <v>98</v>
      </c>
      <c r="D3" s="6">
        <v>0</v>
      </c>
      <c r="E3" s="6">
        <v>1</v>
      </c>
      <c r="F3" s="4">
        <f>1*(Данные!F87&gt;$E$3)</f>
        <v>0</v>
      </c>
      <c r="G3" s="4">
        <f>1*(Данные!G87&gt;$E$3)</f>
        <v>0</v>
      </c>
      <c r="H3" s="4">
        <f>1*(Данные!H87&gt;$E$3)</f>
        <v>0</v>
      </c>
      <c r="I3" s="4">
        <f>1*(Данные!I87&gt;$E$3)</f>
        <v>0</v>
      </c>
      <c r="J3" s="4">
        <f>1*(Данные!J87&gt;$E$3)</f>
        <v>0</v>
      </c>
      <c r="K3" s="4">
        <f>1*(Данные!K87&gt;$E$3)</f>
        <v>0</v>
      </c>
      <c r="L3" s="4">
        <f>1*(Данные!L87&gt;$E$3)</f>
        <v>0</v>
      </c>
      <c r="M3" s="4">
        <f>1*(Данные!M87&gt;$E$3)</f>
        <v>0</v>
      </c>
    </row>
    <row r="4" spans="1:13" ht="216" customHeight="1">
      <c r="A4" s="5" t="s">
        <v>61</v>
      </c>
      <c r="B4" s="78" t="s">
        <v>100</v>
      </c>
      <c r="C4" s="82" t="s">
        <v>101</v>
      </c>
      <c r="D4" s="6">
        <v>0</v>
      </c>
      <c r="E4" s="6">
        <v>0.15</v>
      </c>
      <c r="F4" s="4">
        <f>1*(Данные!F88&gt;$E$4)</f>
        <v>0</v>
      </c>
      <c r="G4" s="4">
        <f>1*(Данные!G88&gt;$E$4)</f>
        <v>0</v>
      </c>
      <c r="H4" s="4">
        <f>1*(Данные!H88&gt;$E$4)</f>
        <v>0</v>
      </c>
      <c r="I4" s="4">
        <f>1*(Данные!I88&gt;$E$4)</f>
        <v>0</v>
      </c>
      <c r="J4" s="4">
        <f>1*(Данные!J88&gt;$E$4)</f>
        <v>0</v>
      </c>
      <c r="K4" s="4">
        <f>1*(Данные!K88&gt;$E$4)</f>
        <v>0</v>
      </c>
      <c r="L4" s="4">
        <f>1*(Данные!L88&gt;$E$4)</f>
        <v>0</v>
      </c>
      <c r="M4" s="4">
        <f>1*(Данные!M88&gt;$E$4)</f>
        <v>0</v>
      </c>
    </row>
    <row r="5" spans="1:13" ht="195" customHeight="1">
      <c r="A5" s="5" t="s">
        <v>62</v>
      </c>
      <c r="B5" s="78" t="s">
        <v>102</v>
      </c>
      <c r="C5" s="82" t="s">
        <v>103</v>
      </c>
      <c r="D5" s="6">
        <v>0</v>
      </c>
      <c r="E5" s="6">
        <v>0.1</v>
      </c>
      <c r="F5" s="4">
        <f>IF(Данные!F89&gt;($E$5-0.05*VLOOKUP(F$1,Рейтинг!$B$7:$C$13,COLUMN(Рейтинг!$C:$C)-COLUMN(Рейтинг!$B:$B)+1,FALSE)),1,0)</f>
        <v>0</v>
      </c>
      <c r="G5" s="4">
        <f>IF(Данные!G89&gt;($E$5-0.05*VLOOKUP(G$1,Рейтинг!$B$7:$C$13,COLUMN(Рейтинг!$C:$C)-COLUMN(Рейтинг!$B:$B)+1,FALSE)),1,0)</f>
        <v>0</v>
      </c>
      <c r="H5" s="4">
        <f>IF(Данные!H89&gt;($E$5-0.05*VLOOKUP(H$1,Рейтинг!$B$7:$C$13,COLUMN(Рейтинг!$C:$C)-COLUMN(Рейтинг!$B:$B)+1,FALSE)),1,0)</f>
        <v>0</v>
      </c>
      <c r="I5" s="4">
        <f>IF(Данные!I89&gt;($E$5-0.05*VLOOKUP(I$1,Рейтинг!$B$7:$C$13,COLUMN(Рейтинг!$C:$C)-COLUMN(Рейтинг!$B:$B)+1,FALSE)),1,0)</f>
        <v>0</v>
      </c>
      <c r="J5" s="4">
        <f>IF(Данные!J89&gt;($E$5-0.05*VLOOKUP(J$1,Рейтинг!$B$7:$C$13,COLUMN(Рейтинг!$C:$C)-COLUMN(Рейтинг!$B:$B)+1,FALSE)),1,0)</f>
        <v>0</v>
      </c>
      <c r="K5" s="4">
        <f>IF(Данные!K89&gt;($E$5-0.05*VLOOKUP(K$1,Рейтинг!$B$7:$C$13,COLUMN(Рейтинг!$C:$C)-COLUMN(Рейтинг!$B:$B)+1,FALSE)),1,0)</f>
        <v>0</v>
      </c>
      <c r="L5" s="4">
        <f>IF(Данные!L89&gt;($E$5-0.05*VLOOKUP(L$1,Рейтинг!$B$7:$C$13,COLUMN(Рейтинг!$C:$C)-COLUMN(Рейтинг!$B:$B)+1,FALSE)),1,0)</f>
        <v>0</v>
      </c>
      <c r="M5" s="4">
        <f>IF(Данные!M89&gt;($E$5-0.05*VLOOKUP(M$1,Рейтинг!$B$8:$C$14,COLUMN(Рейтинг!$C:$C)-COLUMN(Рейтинг!$B:$B)+1,FALSE)),1,0)</f>
        <v>0</v>
      </c>
    </row>
    <row r="6" spans="1:13" ht="177" customHeight="1">
      <c r="A6" s="5" t="s">
        <v>99</v>
      </c>
      <c r="B6" s="78" t="s">
        <v>104</v>
      </c>
      <c r="C6" s="82" t="s">
        <v>105</v>
      </c>
      <c r="D6" s="6">
        <v>0</v>
      </c>
      <c r="E6" s="6">
        <v>1</v>
      </c>
      <c r="F6" s="4">
        <f>IF(Данные!F90&gt;($E$6-0.5*VLOOKUP(F$1,Рейтинг!$B$7:$C$13,COLUMN(Рейтинг!$C:$C)-COLUMN(Рейтинг!$B:$B)+1,FALSE)),1,0)</f>
        <v>0</v>
      </c>
      <c r="G6" s="4">
        <f>IF(Данные!G90&gt;($E$6-0.5*VLOOKUP(G$1,Рейтинг!$B$7:$C$13,COLUMN(Рейтинг!$C:$C)-COLUMN(Рейтинг!$B:$B)+1,FALSE)),1,0)</f>
        <v>0</v>
      </c>
      <c r="H6" s="4">
        <f>IF(Данные!H90&gt;($E$6-0.5*VLOOKUP(H$1,Рейтинг!$B$7:$C$13,COLUMN(Рейтинг!$C:$C)-COLUMN(Рейтинг!$B:$B)+1,FALSE)),1,0)</f>
        <v>0</v>
      </c>
      <c r="I6" s="4">
        <f>IF(Данные!I90&gt;($E$6-0.5*VLOOKUP(I$1,Рейтинг!$B$7:$C$13,COLUMN(Рейтинг!$C:$C)-COLUMN(Рейтинг!$B:$B)+1,FALSE)),1,0)</f>
        <v>0</v>
      </c>
      <c r="J6" s="4">
        <f>IF(Данные!J90&gt;($E$6-0.5*VLOOKUP(J$1,Рейтинг!$B$7:$C$13,COLUMN(Рейтинг!$C:$C)-COLUMN(Рейтинг!$B:$B)+1,FALSE)),1,0)</f>
        <v>0</v>
      </c>
      <c r="K6" s="4">
        <f>IF(Данные!K90&gt;($E$6-0.5*VLOOKUP(K$1,Рейтинг!$B$7:$C$13,COLUMN(Рейтинг!$C:$C)-COLUMN(Рейтинг!$B:$B)+1,FALSE)),1,0)</f>
        <v>0</v>
      </c>
      <c r="L6" s="4">
        <f>IF(Данные!L90&gt;($E$6-0.5*VLOOKUP(L$1,Рейтинг!$B$7:$C$13,COLUMN(Рейтинг!$C:$C)-COLUMN(Рейтинг!$B:$B)+1,FALSE)),1,0)</f>
        <v>0</v>
      </c>
      <c r="M6" s="4">
        <f>IF(Данные!M90&gt;($E$6-0.5*VLOOKUP(M$1,Рейтинг!$B$8:$C$14,COLUMN(Рейтинг!$C:$C)-COLUMN(Рейтинг!$B:$B)+1,FALSE)),1,0)</f>
        <v>0</v>
      </c>
    </row>
    <row r="7" spans="1:13" ht="18.75">
      <c r="A7" s="2"/>
      <c r="B7" s="83" t="s">
        <v>55</v>
      </c>
      <c r="C7" s="3"/>
      <c r="D7" s="2"/>
      <c r="E7" s="2"/>
      <c r="F7" s="2">
        <f>SUM(F2:F6)</f>
        <v>0</v>
      </c>
      <c r="G7" s="2">
        <f aca="true" t="shared" si="0" ref="G7:L7">SUM(G2:G6)</f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si="0"/>
        <v>0</v>
      </c>
      <c r="L7" s="2">
        <f t="shared" si="0"/>
        <v>0</v>
      </c>
      <c r="M7" s="2">
        <f>SUM(M2:M6)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0" r:id="rId1"/>
  <headerFooter>
    <oddHeader>&amp;C&amp;"Times New Roman,обычный"&amp;14Индикаторы соблюдения бюджетного законодательства при осуществлении бюджетного процесса в муниципальных образованиях Нижневартовского района
&amp;RТаблица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1:P44"/>
  <sheetViews>
    <sheetView zoomScale="90" zoomScaleNormal="90" zoomScalePageLayoutView="0" workbookViewId="0" topLeftCell="A1">
      <pane xSplit="2" ySplit="4" topLeftCell="D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9" sqref="E9"/>
    </sheetView>
  </sheetViews>
  <sheetFormatPr defaultColWidth="9.140625" defaultRowHeight="15"/>
  <cols>
    <col min="1" max="1" width="6.00390625" style="39" customWidth="1"/>
    <col min="2" max="2" width="60.00390625" style="40" customWidth="1"/>
    <col min="3" max="3" width="21.57421875" style="76" customWidth="1"/>
    <col min="4" max="4" width="9.00390625" style="76" customWidth="1"/>
    <col min="5" max="5" width="16.140625" style="77" customWidth="1"/>
    <col min="6" max="6" width="19.28125" style="8" hidden="1" customWidth="1"/>
    <col min="7" max="7" width="17.8515625" style="8" hidden="1" customWidth="1"/>
    <col min="8" max="8" width="19.28125" style="8" hidden="1" customWidth="1"/>
    <col min="9" max="9" width="16.140625" style="40" customWidth="1"/>
    <col min="10" max="10" width="16.421875" style="40" customWidth="1"/>
    <col min="11" max="11" width="12.8515625" style="40" customWidth="1"/>
    <col min="12" max="12" width="10.8515625" style="40" customWidth="1"/>
    <col min="13" max="13" width="9.00390625" style="40" bestFit="1" customWidth="1"/>
    <col min="14" max="14" width="9.7109375" style="40" customWidth="1"/>
    <col min="15" max="15" width="10.00390625" style="40" bestFit="1" customWidth="1"/>
    <col min="16" max="16" width="11.8515625" style="40" customWidth="1"/>
    <col min="17" max="16384" width="9.140625" style="40" customWidth="1"/>
  </cols>
  <sheetData>
    <row r="1" spans="14:15" ht="18.75">
      <c r="N1" s="174" t="s">
        <v>175</v>
      </c>
      <c r="O1" s="174"/>
    </row>
    <row r="2" spans="2:15" ht="18.75">
      <c r="B2" s="173" t="s">
        <v>173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4" spans="1:16" ht="126">
      <c r="A4" s="14" t="s">
        <v>0</v>
      </c>
      <c r="B4" s="14" t="s">
        <v>6</v>
      </c>
      <c r="C4" s="1" t="s">
        <v>57</v>
      </c>
      <c r="D4" s="14" t="s">
        <v>64</v>
      </c>
      <c r="E4" s="68" t="s">
        <v>58</v>
      </c>
      <c r="F4" s="15"/>
      <c r="G4" s="15"/>
      <c r="H4" s="15"/>
      <c r="I4" s="15" t="s">
        <v>168</v>
      </c>
      <c r="J4" s="15" t="s">
        <v>161</v>
      </c>
      <c r="K4" s="15" t="s">
        <v>162</v>
      </c>
      <c r="L4" s="15" t="s">
        <v>163</v>
      </c>
      <c r="M4" s="15" t="s">
        <v>164</v>
      </c>
      <c r="N4" s="7" t="s">
        <v>165</v>
      </c>
      <c r="O4" s="7" t="s">
        <v>166</v>
      </c>
      <c r="P4" s="15" t="s">
        <v>178</v>
      </c>
    </row>
    <row r="5" spans="1:16" ht="18.75">
      <c r="A5" s="14"/>
      <c r="B5" s="14" t="s">
        <v>27</v>
      </c>
      <c r="C5" s="14"/>
      <c r="D5" s="14"/>
      <c r="E5" s="69"/>
      <c r="F5" s="15"/>
      <c r="G5" s="15"/>
      <c r="H5" s="15"/>
      <c r="I5" s="104">
        <f>SUM($D$6*I6+$D$13*I13+$D$25*I25+$D$29*I29+$D$37*I37)</f>
        <v>44.34592189327314</v>
      </c>
      <c r="J5" s="104">
        <f aca="true" t="shared" si="0" ref="J5:P5">SUM($D$6*J6+$D$13*J13+$D$25*J25+$D$29*J29+$D$37*J37)</f>
        <v>44.29906914204207</v>
      </c>
      <c r="K5" s="104">
        <f t="shared" si="0"/>
        <v>37.51087007075475</v>
      </c>
      <c r="L5" s="104">
        <f t="shared" si="0"/>
        <v>39.66848455636355</v>
      </c>
      <c r="M5" s="104">
        <f t="shared" si="0"/>
        <v>43.04390630009045</v>
      </c>
      <c r="N5" s="104">
        <f t="shared" si="0"/>
        <v>55.247553243691556</v>
      </c>
      <c r="O5" s="104">
        <f t="shared" si="0"/>
        <v>40.74895479372106</v>
      </c>
      <c r="P5" s="104">
        <f t="shared" si="0"/>
        <v>43.02919788145397</v>
      </c>
    </row>
    <row r="6" spans="1:16" s="44" customFormat="1" ht="18.75">
      <c r="A6" s="41"/>
      <c r="B6" s="42" t="s">
        <v>10</v>
      </c>
      <c r="C6" s="70"/>
      <c r="D6" s="70">
        <v>2.5</v>
      </c>
      <c r="E6" s="71"/>
      <c r="F6" s="27"/>
      <c r="G6" s="27"/>
      <c r="H6" s="27"/>
      <c r="I6" s="105">
        <f>SUMPRODUCT($E$7:$E$12,$D$7:$D$12,I7:I12)</f>
        <v>6.865102389445349</v>
      </c>
      <c r="J6" s="105">
        <f aca="true" t="shared" si="1" ref="J6:P6">SUMPRODUCT($E$7:$E$12,$D$7:$D$12,J7:J12)</f>
        <v>9.458179200895742</v>
      </c>
      <c r="K6" s="105">
        <f t="shared" si="1"/>
        <v>8.875312174795868</v>
      </c>
      <c r="L6" s="105">
        <f t="shared" si="1"/>
        <v>8.098428657021422</v>
      </c>
      <c r="M6" s="105">
        <f t="shared" si="1"/>
        <v>8.374977704936336</v>
      </c>
      <c r="N6" s="105">
        <f t="shared" si="1"/>
        <v>7.4742427433486895</v>
      </c>
      <c r="O6" s="105">
        <f t="shared" si="1"/>
        <v>8.999788223016282</v>
      </c>
      <c r="P6" s="105">
        <f t="shared" si="1"/>
        <v>8</v>
      </c>
    </row>
    <row r="7" spans="1:16" s="8" customFormat="1" ht="37.5">
      <c r="A7" s="45" t="str">
        <f>Индикаторы!A7</f>
        <v>1.1</v>
      </c>
      <c r="B7" s="78" t="str">
        <f>Индикаторы!B7</f>
        <v>Утверждение бюджета на очередной финансовый год и плановый период</v>
      </c>
      <c r="C7" s="25">
        <v>1</v>
      </c>
      <c r="D7" s="25">
        <v>2</v>
      </c>
      <c r="E7" s="72">
        <v>1</v>
      </c>
      <c r="F7" s="25"/>
      <c r="G7" s="25"/>
      <c r="H7" s="25"/>
      <c r="I7" s="49">
        <f>IF($E7=0,0,_xlfn.IFERROR(IF($C7=1,(Индикаторы!H7-Индикаторы!$D7)/(Индикаторы!$E7-Индикаторы!$D7),(Индикаторы!$E7-Индикаторы!H7)/(Индикаторы!$E7-Индикаторы!$D7)),0))</f>
        <v>1</v>
      </c>
      <c r="J7" s="49">
        <f>IF($E7=0,0,_xlfn.IFERROR(IF($C7=1,(Индикаторы!I7-Индикаторы!$D7)/(Индикаторы!$E7-Индикаторы!$D7),(Индикаторы!$E7-Индикаторы!I7)/(Индикаторы!$E7-Индикаторы!$D7)),0))</f>
        <v>1</v>
      </c>
      <c r="K7" s="49">
        <f>IF($E7=0,0,_xlfn.IFERROR(IF($C7=1,(Индикаторы!J7-Индикаторы!$D7)/(Индикаторы!$E7-Индикаторы!$D7),(Индикаторы!$E7-Индикаторы!J7)/(Индикаторы!$E7-Индикаторы!$D7)),0))</f>
        <v>1</v>
      </c>
      <c r="L7" s="49">
        <f>IF($E7=0,0,_xlfn.IFERROR(IF($C7=1,(Индикаторы!K7-Индикаторы!$D7)/(Индикаторы!$E7-Индикаторы!$D7),(Индикаторы!$E7-Индикаторы!K7)/(Индикаторы!$E7-Индикаторы!$D7)),0))</f>
        <v>1</v>
      </c>
      <c r="M7" s="49">
        <f>IF($E7=0,0,_xlfn.IFERROR(IF($C7=1,(Индикаторы!L7-Индикаторы!$D7)/(Индикаторы!$E7-Индикаторы!$D7),(Индикаторы!$E7-Индикаторы!L7)/(Индикаторы!$E7-Индикаторы!$D7)),0))</f>
        <v>1</v>
      </c>
      <c r="N7" s="49">
        <f>IF($E7=0,0,_xlfn.IFERROR(IF($C7=1,(Индикаторы!M7-Индикаторы!$D7)/(Индикаторы!$E7-Индикаторы!$D7),(Индикаторы!$E7-Индикаторы!M7)/(Индикаторы!$E7-Индикаторы!$D7)),0))</f>
        <v>1</v>
      </c>
      <c r="O7" s="49">
        <f>IF($E7=0,0,_xlfn.IFERROR(IF($C7=1,(Индикаторы!N7-Индикаторы!$D7)/(Индикаторы!$E7-Индикаторы!$D7),(Индикаторы!$E7-Индикаторы!N7)/(Индикаторы!$E7-Индикаторы!$D7)),0))</f>
        <v>1</v>
      </c>
      <c r="P7" s="49">
        <f>IF($E7=0,0,_xlfn.IFERROR(IF($C7=1,(Индикаторы!O7-Индикаторы!$D7)/(Индикаторы!$E7-Индикаторы!$D7),(Индикаторы!$E7-Индикаторы!O7)/(Индикаторы!$E7-Индикаторы!$D7)),0))</f>
        <v>1</v>
      </c>
    </row>
    <row r="8" spans="1:16" s="8" customFormat="1" ht="18.75">
      <c r="A8" s="45" t="str">
        <f>Индикаторы!A8</f>
        <v>1.2</v>
      </c>
      <c r="B8" s="78" t="str">
        <f>Индикаторы!B8</f>
        <v>Своевременность принятия решения о бюджете</v>
      </c>
      <c r="C8" s="25">
        <v>1</v>
      </c>
      <c r="D8" s="25">
        <v>1.5</v>
      </c>
      <c r="E8" s="72">
        <v>1</v>
      </c>
      <c r="F8" s="25"/>
      <c r="G8" s="25"/>
      <c r="H8" s="25"/>
      <c r="I8" s="49">
        <f>IF($E8=0,0,_xlfn.IFERROR(IF($C8=1,(Индикаторы!H8-Индикаторы!$D8)/(Индикаторы!$E8-Индикаторы!$D8),(Индикаторы!$E8-Индикаторы!H8)/(Индикаторы!$E8-Индикаторы!$D8)),0))</f>
        <v>1</v>
      </c>
      <c r="J8" s="49">
        <f>IF($E8=0,0,_xlfn.IFERROR(IF($C8=1,(Индикаторы!I8-Индикаторы!$D8)/(Индикаторы!$E8-Индикаторы!$D8),(Индикаторы!$E8-Индикаторы!I8)/(Индикаторы!$E8-Индикаторы!$D8)),0))</f>
        <v>1</v>
      </c>
      <c r="K8" s="49">
        <f>IF($E8=0,0,_xlfn.IFERROR(IF($C8=1,(Индикаторы!J8-Индикаторы!$D8)/(Индикаторы!$E8-Индикаторы!$D8),(Индикаторы!$E8-Индикаторы!J8)/(Индикаторы!$E8-Индикаторы!$D8)),0))</f>
        <v>1</v>
      </c>
      <c r="L8" s="49">
        <f>IF($E8=0,0,_xlfn.IFERROR(IF($C8=1,(Индикаторы!K8-Индикаторы!$D8)/(Индикаторы!$E8-Индикаторы!$D8),(Индикаторы!$E8-Индикаторы!K8)/(Индикаторы!$E8-Индикаторы!$D8)),0))</f>
        <v>1</v>
      </c>
      <c r="M8" s="49">
        <f>IF($E8=0,0,_xlfn.IFERROR(IF($C8=1,(Индикаторы!L8-Индикаторы!$D8)/(Индикаторы!$E8-Индикаторы!$D8),(Индикаторы!$E8-Индикаторы!L8)/(Индикаторы!$E8-Индикаторы!$D8)),0))</f>
        <v>1</v>
      </c>
      <c r="N8" s="49">
        <f>IF($E8=0,0,_xlfn.IFERROR(IF($C8=1,(Индикаторы!M8-Индикаторы!$D8)/(Индикаторы!$E8-Индикаторы!$D8),(Индикаторы!$E8-Индикаторы!M8)/(Индикаторы!$E8-Индикаторы!$D8)),0))</f>
        <v>1</v>
      </c>
      <c r="O8" s="49">
        <f>IF($E8=0,0,_xlfn.IFERROR(IF($C8=1,(Индикаторы!N8-Индикаторы!$D8)/(Индикаторы!$E8-Индикаторы!$D8),(Индикаторы!$E8-Индикаторы!N8)/(Индикаторы!$E8-Индикаторы!$D8)),0))</f>
        <v>1</v>
      </c>
      <c r="P8" s="49">
        <f>IF($E8=0,0,_xlfn.IFERROR(IF($C8=1,(Индикаторы!O8-Индикаторы!$D8)/(Индикаторы!$E8-Индикаторы!$D8),(Индикаторы!$E8-Индикаторы!O8)/(Индикаторы!$E8-Индикаторы!$D8)),0))</f>
        <v>1</v>
      </c>
    </row>
    <row r="9" spans="1:16" s="8" customFormat="1" ht="66.75" customHeight="1">
      <c r="A9" s="45" t="str">
        <f>Индикаторы!A9</f>
        <v>1.3</v>
      </c>
      <c r="B9" s="28" t="str">
        <f>Индикаторы!B9</f>
        <v>Исполнение бюджета поселения по доходам без учета безвозмездных поступлений </v>
      </c>
      <c r="C9" s="25">
        <v>0</v>
      </c>
      <c r="D9" s="25">
        <v>2</v>
      </c>
      <c r="E9" s="72">
        <v>1</v>
      </c>
      <c r="F9" s="25"/>
      <c r="G9" s="25"/>
      <c r="H9" s="25"/>
      <c r="I9" s="49">
        <f>IF($E9=0,0,_xlfn.IFERROR(IF($C9=1,(Индикаторы!H9-Индикаторы!$D9)/(Индикаторы!$E9-Индикаторы!$D9),(Индикаторы!$E9-Индикаторы!H9)/(Индикаторы!$E9-Индикаторы!$D9)),0))</f>
        <v>0.4325511947226744</v>
      </c>
      <c r="J9" s="49">
        <f>IF($E9=0,0,_xlfn.IFERROR(IF($C9=1,(Индикаторы!I9-Индикаторы!$D9)/(Индикаторы!$E9-Индикаторы!$D9),(Индикаторы!$E9-Индикаторы!I9)/(Индикаторы!$E9-Индикаторы!$D9)),0))</f>
        <v>0.729581119630906</v>
      </c>
      <c r="K9" s="49">
        <f>IF($E9=0,0,_xlfn.IFERROR(IF($C9=1,(Индикаторы!J9-Индикаторы!$D9)/(Индикаторы!$E9-Индикаторы!$D9),(Индикаторы!$E9-Индикаторы!J9)/(Индикаторы!$E9-Индикаторы!$D9)),0))</f>
        <v>0.9444679373280954</v>
      </c>
      <c r="L9" s="49">
        <f>IF($E9=0,0,_xlfn.IFERROR(IF($C9=1,(Индикаторы!K9-Индикаторы!$D9)/(Индикаторы!$E9-Индикаторы!$D9),(Индикаторы!$E9-Индикаторы!K9)/(Индикаторы!$E9-Индикаторы!$D9)),0))</f>
        <v>0.549320217002571</v>
      </c>
      <c r="M9" s="49">
        <f>IF($E9=0,0,_xlfn.IFERROR(IF($C9=1,(Индикаторы!L9-Индикаторы!$D9)/(Индикаторы!$E9-Индикаторы!$D9),(Индикаторы!$E9-Индикаторы!L9)/(Индикаторы!$E9-Индикаторы!$D9)),0))</f>
        <v>0.816321142391299</v>
      </c>
      <c r="N9" s="49">
        <f>IF($E9=0,0,_xlfn.IFERROR(IF($C9=1,(Индикаторы!M9-Индикаторы!$D9)/(Индикаторы!$E9-Индикаторы!$D9),(Индикаторы!$E9-Индикаторы!M9)/(Индикаторы!$E9-Индикаторы!$D9)),0))</f>
        <v>0.29643961310747896</v>
      </c>
      <c r="O9" s="49">
        <f>IF($E9=0,0,_xlfn.IFERROR(IF($C9=1,(Индикаторы!N9-Индикаторы!$D9)/(Индикаторы!$E9-Индикаторы!$D9),(Индикаторы!$E9-Индикаторы!N9)/(Индикаторы!$E9-Индикаторы!$D9)),0))</f>
        <v>1</v>
      </c>
      <c r="P9" s="49">
        <f>IF($E9=0,0,_xlfn.IFERROR(IF($C9=1,(Индикаторы!O9-Индикаторы!$D9)/(Индикаторы!$E9-Индикаторы!$D9),(Индикаторы!$E9-Индикаторы!O9)/(Индикаторы!$E9-Индикаторы!$D9)),0))</f>
        <v>0</v>
      </c>
    </row>
    <row r="10" spans="1:16" s="8" customFormat="1" ht="140.25" customHeight="1">
      <c r="A10" s="45" t="str">
        <f>Индикаторы!A10</f>
        <v>1.4</v>
      </c>
      <c r="B10" s="78" t="str">
        <f>Индикаторы!B10</f>
        <v>Наличие муниципального правового акта  о проведении ежегодной оценки эффективности предоставленных (планируемых к предоставлению) налоговых льгот и ставок налогов, установленных (планируемых к установлению) представительным органом местного самоуправления муниципального образования</v>
      </c>
      <c r="C10" s="25">
        <v>1</v>
      </c>
      <c r="D10" s="25">
        <v>1</v>
      </c>
      <c r="E10" s="72">
        <v>1</v>
      </c>
      <c r="F10" s="25"/>
      <c r="G10" s="25"/>
      <c r="H10" s="25"/>
      <c r="I10" s="49">
        <f>IF($E10=0,0,_xlfn.IFERROR(IF($C10=1,(Индикаторы!H10-Индикаторы!$D10)/(Индикаторы!$E10-Индикаторы!$D10),(Индикаторы!$E10-Индикаторы!H10)/(Индикаторы!$E10-Индикаторы!$D10)),0))</f>
        <v>1</v>
      </c>
      <c r="J10" s="49">
        <f>IF($E10=0,0,_xlfn.IFERROR(IF($C10=1,(Индикаторы!I10-Индикаторы!$D10)/(Индикаторы!$E10-Индикаторы!$D10),(Индикаторы!$E10-Индикаторы!I10)/(Индикаторы!$E10-Индикаторы!$D10)),0))</f>
        <v>1</v>
      </c>
      <c r="K10" s="49">
        <f>IF($E10=0,0,_xlfn.IFERROR(IF($C10=1,(Индикаторы!J10-Индикаторы!$D10)/(Индикаторы!$E10-Индикаторы!$D10),(Индикаторы!$E10-Индикаторы!J10)/(Индикаторы!$E10-Индикаторы!$D10)),0))</f>
        <v>0</v>
      </c>
      <c r="L10" s="49">
        <f>IF($E10=0,0,_xlfn.IFERROR(IF($C10=1,(Индикаторы!K10-Индикаторы!$D10)/(Индикаторы!$E10-Индикаторы!$D10),(Индикаторы!$E10-Индикаторы!K10)/(Индикаторы!$E10-Индикаторы!$D10)),0))</f>
        <v>0</v>
      </c>
      <c r="M10" s="49">
        <f>IF($E10=0,0,_xlfn.IFERROR(IF($C10=1,(Индикаторы!L10-Индикаторы!$D10)/(Индикаторы!$E10-Индикаторы!$D10),(Индикаторы!$E10-Индикаторы!L10)/(Индикаторы!$E10-Индикаторы!$D10)),0))</f>
        <v>0</v>
      </c>
      <c r="N10" s="49">
        <f>IF($E10=0,0,_xlfn.IFERROR(IF($C10=1,(Индикаторы!M10-Индикаторы!$D10)/(Индикаторы!$E10-Индикаторы!$D10),(Индикаторы!$E10-Индикаторы!M10)/(Индикаторы!$E10-Индикаторы!$D10)),0))</f>
        <v>0</v>
      </c>
      <c r="O10" s="49">
        <f>IF($E10=0,0,_xlfn.IFERROR(IF($C10=1,(Индикаторы!N10-Индикаторы!$D10)/(Индикаторы!$E10-Индикаторы!$D10),(Индикаторы!$E10-Индикаторы!N10)/(Индикаторы!$E10-Индикаторы!$D10)),0))</f>
        <v>0</v>
      </c>
      <c r="P10" s="49">
        <f>IF($E10=0,0,_xlfn.IFERROR(IF($C10=1,(Индикаторы!O10-Индикаторы!$D10)/(Индикаторы!$E10-Индикаторы!$D10),(Индикаторы!$E10-Индикаторы!O10)/(Индикаторы!$E10-Индикаторы!$D10)),0))</f>
        <v>1</v>
      </c>
    </row>
    <row r="11" spans="1:16" s="8" customFormat="1" ht="180" customHeight="1">
      <c r="A11" s="45" t="str">
        <f>Индикаторы!A11</f>
        <v>1.5</v>
      </c>
      <c r="B11" s="78" t="str">
        <f>Индикаторы!B11</f>
        <v>Доля расходов бюджета поселения, формируемых в рамках муниципальных и ведомственных целевых программ в общем объеме расходов бюджета (за исключением расходов, осуществляемых за счет субвенций  и субсидий , предоставляемых в рамках целевых программ автономного округа)</v>
      </c>
      <c r="C11" s="25">
        <v>1</v>
      </c>
      <c r="D11" s="25">
        <v>2</v>
      </c>
      <c r="E11" s="72">
        <v>1</v>
      </c>
      <c r="F11" s="47"/>
      <c r="G11" s="25"/>
      <c r="H11" s="25"/>
      <c r="I11" s="49">
        <f>IF($E11=0,0,_xlfn.IFERROR(IF($C11=1,(Индикаторы!H11-Индикаторы!$D11)/(Индикаторы!$E11-Индикаторы!$D11),(Индикаторы!$E11-Индикаторы!H11)/(Индикаторы!$E11-Индикаторы!$D11)),0))</f>
        <v>0</v>
      </c>
      <c r="J11" s="49">
        <f>IF($E11=0,0,_xlfn.IFERROR(IF($C11=1,(Индикаторы!I11-Индикаторы!$D11)/(Индикаторы!$E11-Индикаторы!$D11),(Индикаторы!$E11-Индикаторы!I11)/(Индикаторы!$E11-Индикаторы!$D11)),0))</f>
        <v>0.9995084808169648</v>
      </c>
      <c r="K11" s="49">
        <f>IF($E11=0,0,_xlfn.IFERROR(IF($C11=1,(Индикаторы!J11-Индикаторы!$D11)/(Индикаторы!$E11-Индикаторы!$D11),(Индикаторы!$E11-Индикаторы!J11)/(Индикаторы!$E11-Индикаторы!$D11)),0))</f>
        <v>0.9931881500698381</v>
      </c>
      <c r="L11" s="49">
        <f>IF($E11=0,0,_xlfn.IFERROR(IF($C11=1,(Индикаторы!K11-Индикаторы!$D11)/(Индикаторы!$E11-Индикаторы!$D11),(Индикаторы!$E11-Индикаторы!K11)/(Индикаторы!$E11-Индикаторы!$D11)),0))</f>
        <v>0.9998941115081403</v>
      </c>
      <c r="M11" s="49">
        <f>IF($E11=0,0,_xlfn.IFERROR(IF($C11=1,(Индикаторы!L11-Индикаторы!$D11)/(Индикаторы!$E11-Индикаторы!$D11),(Индикаторы!$E11-Индикаторы!L11)/(Индикаторы!$E11-Индикаторы!$D11)),0))</f>
        <v>0.8711677100768692</v>
      </c>
      <c r="N11" s="49">
        <f>IF($E11=0,0,_xlfn.IFERROR(IF($C11=1,(Индикаторы!M11-Индикаторы!$D11)/(Индикаторы!$E11-Индикаторы!$D11),(Индикаторы!$E11-Индикаторы!M11)/(Индикаторы!$E11-Индикаторы!$D11)),0))</f>
        <v>0.9406817585668658</v>
      </c>
      <c r="O11" s="49">
        <f>IF($E11=0,0,_xlfn.IFERROR(IF($C11=1,(Индикаторы!N11-Индикаторы!$D11)/(Индикаторы!$E11-Индикаторы!$D11),(Индикаторы!$E11-Индикаторы!N11)/(Индикаторы!$E11-Индикаторы!$D11)),0))</f>
        <v>0.9998941115081403</v>
      </c>
      <c r="P11" s="49">
        <f>IF($E11=0,0,_xlfn.IFERROR(IF($C11=1,(Индикаторы!O11-Индикаторы!$D11)/(Индикаторы!$E11-Индикаторы!$D11),(Индикаторы!$E11-Индикаторы!O11)/(Индикаторы!$E11-Индикаторы!$D11)),0))</f>
        <v>1</v>
      </c>
    </row>
    <row r="12" spans="1:16" s="8" customFormat="1" ht="108" customHeight="1">
      <c r="A12" s="45" t="str">
        <f>Индикаторы!A12</f>
        <v>1.6</v>
      </c>
      <c r="B12" s="78" t="str">
        <f>Индикаторы!B12</f>
        <v>Объем планируемых к привлечению бюд-жетных кредитов от других бюджетов бюд-жетной системы, предусмотренных в каче-стве источника финансирования дефицита бюджета муниципального образования</v>
      </c>
      <c r="C12" s="25">
        <v>1</v>
      </c>
      <c r="D12" s="25">
        <v>1.5</v>
      </c>
      <c r="E12" s="72">
        <v>1</v>
      </c>
      <c r="F12" s="47"/>
      <c r="G12" s="47"/>
      <c r="H12" s="47"/>
      <c r="I12" s="49">
        <f>IF($E12=0,0,_xlfn.IFERROR(IF($C12=1,(Индикаторы!H12-Индикаторы!$D12)/(Индикаторы!$E12-Индикаторы!$D12),(Индикаторы!$E12-Индикаторы!H12)/(Индикаторы!$E12-Индикаторы!$D12)),0))</f>
        <v>1</v>
      </c>
      <c r="J12" s="49">
        <f>IF($E12=0,0,_xlfn.IFERROR(IF($C12=1,(Индикаторы!I12-Индикаторы!$D12)/(Индикаторы!$E12-Индикаторы!$D12),(Индикаторы!$E12-Индикаторы!I12)/(Индикаторы!$E12-Индикаторы!$D12)),0))</f>
        <v>1</v>
      </c>
      <c r="K12" s="49">
        <f>IF($E12=0,0,_xlfn.IFERROR(IF($C12=1,(Индикаторы!J12-Индикаторы!$D12)/(Индикаторы!$E12-Индикаторы!$D12),(Индикаторы!$E12-Индикаторы!J12)/(Индикаторы!$E12-Индикаторы!$D12)),0))</f>
        <v>1</v>
      </c>
      <c r="L12" s="49">
        <f>IF($E12=0,0,_xlfn.IFERROR(IF($C12=1,(Индикаторы!K12-Индикаторы!$D12)/(Индикаторы!$E12-Индикаторы!$D12),(Индикаторы!$E12-Индикаторы!K12)/(Индикаторы!$E12-Индикаторы!$D12)),0))</f>
        <v>1</v>
      </c>
      <c r="M12" s="49">
        <f>IF($E12=0,0,_xlfn.IFERROR(IF($C12=1,(Индикаторы!L12-Индикаторы!$D12)/(Индикаторы!$E12-Индикаторы!$D12),(Индикаторы!$E12-Индикаторы!L12)/(Индикаторы!$E12-Индикаторы!$D12)),0))</f>
        <v>1</v>
      </c>
      <c r="N12" s="49">
        <f>IF($E12=0,0,_xlfn.IFERROR(IF($C12=1,(Индикаторы!M12-Индикаторы!$D12)/(Индикаторы!$E12-Индикаторы!$D12),(Индикаторы!$E12-Индикаторы!M12)/(Индикаторы!$E12-Индикаторы!$D12)),0))</f>
        <v>1</v>
      </c>
      <c r="O12" s="49">
        <f>IF($E12=0,0,_xlfn.IFERROR(IF($C12=1,(Индикаторы!N12-Индикаторы!$D12)/(Индикаторы!$E12-Индикаторы!$D12),(Индикаторы!$E12-Индикаторы!N12)/(Индикаторы!$E12-Индикаторы!$D12)),0))</f>
        <v>1</v>
      </c>
      <c r="P12" s="49">
        <f>IF($E12=0,0,_xlfn.IFERROR(IF($C12=1,(Индикаторы!O12-Индикаторы!$D12)/(Индикаторы!$E12-Индикаторы!$D12),(Индикаторы!$E12-Индикаторы!O12)/(Индикаторы!$E12-Индикаторы!$D12)),0))</f>
        <v>1</v>
      </c>
    </row>
    <row r="13" spans="1:16" s="58" customFormat="1" ht="18.75">
      <c r="A13" s="52"/>
      <c r="B13" s="79" t="s">
        <v>12</v>
      </c>
      <c r="C13" s="54"/>
      <c r="D13" s="73">
        <v>2.5</v>
      </c>
      <c r="E13" s="74"/>
      <c r="F13" s="55"/>
      <c r="G13" s="56"/>
      <c r="H13" s="56"/>
      <c r="I13" s="105">
        <f>SUMPRODUCT($E$14:$E$24,$D$14:$D$24,I14:I24)</f>
        <v>3.9732663678639097</v>
      </c>
      <c r="J13" s="105">
        <f aca="true" t="shared" si="2" ref="J13:O13">SUMPRODUCT($E$14:$E$23,$D$14:$D$23,J14:J23)</f>
        <v>1.7614484559210883</v>
      </c>
      <c r="K13" s="105">
        <f t="shared" si="2"/>
        <v>2.7290358535060326</v>
      </c>
      <c r="L13" s="105">
        <f t="shared" si="2"/>
        <v>2.568965165523997</v>
      </c>
      <c r="M13" s="105">
        <f t="shared" si="2"/>
        <v>2.342584815099844</v>
      </c>
      <c r="N13" s="105">
        <f t="shared" si="2"/>
        <v>4.324778554127931</v>
      </c>
      <c r="O13" s="105">
        <f t="shared" si="2"/>
        <v>2.6997936944721435</v>
      </c>
      <c r="P13" s="105">
        <f>SUMPRODUCT($E$14:$E$23,$D$14:$D$23,P14:P23)</f>
        <v>2.3116791525815867</v>
      </c>
    </row>
    <row r="14" spans="1:16" s="8" customFormat="1" ht="37.5">
      <c r="A14" s="45" t="str">
        <f>Индикаторы!A14</f>
        <v>2.1</v>
      </c>
      <c r="B14" s="78" t="str">
        <f>Индикаторы!B14</f>
        <v>Количество изменений, внесенных в решение о бюджете муниципального образования</v>
      </c>
      <c r="C14" s="25">
        <v>0</v>
      </c>
      <c r="D14" s="25">
        <v>0.75</v>
      </c>
      <c r="E14" s="72">
        <v>1</v>
      </c>
      <c r="F14" s="47"/>
      <c r="G14" s="47"/>
      <c r="H14" s="47"/>
      <c r="I14" s="49">
        <f>IF($E14=0,0,_xlfn.IFERROR(IF($C14=1,(Индикаторы!H14-Индикаторы!$D14)/(Индикаторы!$E14-Индикаторы!$D14),(Индикаторы!$E14-Индикаторы!H14)/(Индикаторы!$E14-Индикаторы!$D14)),0))</f>
        <v>0</v>
      </c>
      <c r="J14" s="49">
        <f>IF($E14=0,0,_xlfn.IFERROR(IF($C14=1,(Индикаторы!I14-Индикаторы!$D14)/(Индикаторы!$E14-Индикаторы!$D14),(Индикаторы!$E14-Индикаторы!I14)/(Индикаторы!$E14-Индикаторы!$D14)),0))</f>
        <v>0</v>
      </c>
      <c r="K14" s="49">
        <f>IF($E14=0,0,_xlfn.IFERROR(IF($C14=1,(Индикаторы!J14-Индикаторы!$D14)/(Индикаторы!$E14-Индикаторы!$D14),(Индикаторы!$E14-Индикаторы!J14)/(Индикаторы!$E14-Индикаторы!$D14)),0))</f>
        <v>1</v>
      </c>
      <c r="L14" s="49">
        <f>IF($E14=0,0,_xlfn.IFERROR(IF($C14=1,(Индикаторы!K14-Индикаторы!$D14)/(Индикаторы!$E14-Индикаторы!$D14),(Индикаторы!$E14-Индикаторы!K14)/(Индикаторы!$E14-Индикаторы!$D14)),0))</f>
        <v>0.6666666666666666</v>
      </c>
      <c r="M14" s="49">
        <f>IF($E14=0,0,_xlfn.IFERROR(IF($C14=1,(Индикаторы!L14-Индикаторы!$D14)/(Индикаторы!$E14-Индикаторы!$D14),(Индикаторы!$E14-Индикаторы!L14)/(Индикаторы!$E14-Индикаторы!$D14)),0))</f>
        <v>0</v>
      </c>
      <c r="N14" s="49">
        <f>IF($E14=0,0,_xlfn.IFERROR(IF($C14=1,(Индикаторы!M14-Индикаторы!$D14)/(Индикаторы!$E14-Индикаторы!$D14),(Индикаторы!$E14-Индикаторы!M14)/(Индикаторы!$E14-Индикаторы!$D14)),0))</f>
        <v>0.3333333333333333</v>
      </c>
      <c r="O14" s="49">
        <f>IF($E14=0,0,_xlfn.IFERROR(IF($C14=1,(Индикаторы!N14-Индикаторы!$D14)/(Индикаторы!$E14-Индикаторы!$D14),(Индикаторы!$E14-Индикаторы!N14)/(Индикаторы!$E14-Индикаторы!$D14)),0))</f>
        <v>0</v>
      </c>
      <c r="P14" s="49">
        <f>IF($E14=0,0,_xlfn.IFERROR(IF($C14=1,(Индикаторы!O14-Индикаторы!$D14)/(Индикаторы!$E14-Индикаторы!$D14),(Индикаторы!$E14-Индикаторы!O14)/(Индикаторы!$E14-Индикаторы!$D14)),0))</f>
        <v>0.3333333333333333</v>
      </c>
    </row>
    <row r="15" spans="1:16" s="8" customFormat="1" ht="93.75">
      <c r="A15" s="45" t="str">
        <f>Индикаторы!A15</f>
        <v>2.2</v>
      </c>
      <c r="B15" s="78" t="str">
        <f>Индикаторы!B15</f>
        <v>Темп роста поступлений налоговых доходов бюджета муниципального образования (без учета налоговых доходов по дополнительным нормативам отчислений) к соответствующему периоду прошлого года</v>
      </c>
      <c r="C15" s="25">
        <v>1</v>
      </c>
      <c r="D15" s="164">
        <v>1.75</v>
      </c>
      <c r="E15" s="72">
        <v>1</v>
      </c>
      <c r="F15" s="25"/>
      <c r="G15" s="25"/>
      <c r="H15" s="25"/>
      <c r="I15" s="49">
        <f>IF($E15=0,0,_xlfn.IFERROR(IF($C15=1,(Индикаторы!H15-Индикаторы!$D15)/(Индикаторы!$E15-Индикаторы!$D15),(Индикаторы!$E15-Индикаторы!H15)/(Индикаторы!$E15-Индикаторы!$D15)),0))</f>
        <v>0.6540503125192602</v>
      </c>
      <c r="J15" s="49">
        <f>IF($E15=0,0,_xlfn.IFERROR(IF($C15=1,(Индикаторы!I15-Индикаторы!$D15)/(Индикаторы!$E15-Индикаторы!$D15),(Индикаторы!$E15-Индикаторы!I15)/(Индикаторы!$E15-Индикаторы!$D15)),0))</f>
        <v>0.09127531590911296</v>
      </c>
      <c r="K15" s="49">
        <f>IF($E15=0,0,_xlfn.IFERROR(IF($C15=1,(Индикаторы!J15-Индикаторы!$D15)/(Индикаторы!$E15-Индикаторы!$D15),(Индикаторы!$E15-Индикаторы!J15)/(Индикаторы!$E15-Индикаторы!$D15)),0))</f>
        <v>0.20906881012414208</v>
      </c>
      <c r="L15" s="49">
        <f>IF($E15=0,0,_xlfn.IFERROR(IF($C15=1,(Индикаторы!K15-Индикаторы!$D15)/(Индикаторы!$E15-Индикаторы!$D15),(Индикаторы!$E15-Индикаторы!K15)/(Индикаторы!$E15-Индикаторы!$D15)),0))</f>
        <v>0</v>
      </c>
      <c r="M15" s="49">
        <f>IF($E15=0,0,_xlfn.IFERROR(IF($C15=1,(Индикаторы!L15-Индикаторы!$D15)/(Индикаторы!$E15-Индикаторы!$D15),(Индикаторы!$E15-Индикаторы!L15)/(Индикаторы!$E15-Индикаторы!$D15)),0))</f>
        <v>0.3532138460497734</v>
      </c>
      <c r="N15" s="49">
        <f>IF($E15=0,0,_xlfn.IFERROR(IF($C15=1,(Индикаторы!M15-Индикаторы!$D15)/(Индикаторы!$E15-Индикаторы!$D15),(Индикаторы!$E15-Индикаторы!M15)/(Индикаторы!$E15-Индикаторы!$D15)),0))</f>
        <v>1</v>
      </c>
      <c r="O15" s="49">
        <f>IF($E15=0,0,_xlfn.IFERROR(IF($C15=1,(Индикаторы!N15-Индикаторы!$D15)/(Индикаторы!$E15-Индикаторы!$D15),(Индикаторы!$E15-Индикаторы!N15)/(Индикаторы!$E15-Индикаторы!$D15)),0))</f>
        <v>0.42088176669432426</v>
      </c>
      <c r="P15" s="49">
        <f>IF($E15=0,0,_xlfn.IFERROR(IF($C15=1,(Индикаторы!O15-Индикаторы!$D15)/(Индикаторы!$E15-Индикаторы!$D15),(Индикаторы!$E15-Индикаторы!O15)/(Индикаторы!$E15-Индикаторы!$D15)),0))</f>
        <v>0.16739025236559774</v>
      </c>
    </row>
    <row r="16" spans="1:16" s="8" customFormat="1" ht="63" customHeight="1">
      <c r="A16" s="45" t="str">
        <f>Индикаторы!A16</f>
        <v>2.3</v>
      </c>
      <c r="B16" s="78" t="str">
        <f>Индикаторы!B16</f>
        <v>Темп роста поступлений неналоговых доходов бюджета муниципального образования к соответствующему периоду прошлого года</v>
      </c>
      <c r="C16" s="25">
        <v>1</v>
      </c>
      <c r="D16" s="164">
        <v>1.75</v>
      </c>
      <c r="E16" s="72">
        <v>1</v>
      </c>
      <c r="F16" s="25"/>
      <c r="G16" s="25"/>
      <c r="H16" s="25"/>
      <c r="I16" s="49">
        <f>IF($E16=0,0,_xlfn.IFERROR(IF($C16=1,(Индикаторы!H16-Индикаторы!$D16)/(Индикаторы!$E16-Индикаторы!$D16),(Индикаторы!$E16-Индикаторы!H16)/(Индикаторы!$E16-Индикаторы!$D16)),0))</f>
        <v>0.7592447548315453</v>
      </c>
      <c r="J16" s="49">
        <f>IF($E16=0,0,_xlfn.IFERROR(IF($C16=1,(Индикаторы!I16-Индикаторы!$D16)/(Индикаторы!$E16-Индикаторы!$D16),(Индикаторы!$E16-Индикаторы!I16)/(Индикаторы!$E16-Индикаторы!$D16)),0))</f>
        <v>0.2790362169086686</v>
      </c>
      <c r="K16" s="49">
        <f>IF($E16=0,0,_xlfn.IFERROR(IF($C16=1,(Индикаторы!J16-Индикаторы!$D16)/(Индикаторы!$E16-Индикаторы!$D16),(Индикаторы!$E16-Индикаторы!J16)/(Индикаторы!$E16-Индикаторы!$D16)),0))</f>
        <v>0</v>
      </c>
      <c r="L16" s="49">
        <f>IF($E16=0,0,_xlfn.IFERROR(IF($C16=1,(Индикаторы!K16-Индикаторы!$D16)/(Индикаторы!$E16-Индикаторы!$D16),(Индикаторы!$E16-Индикаторы!K16)/(Индикаторы!$E16-Индикаторы!$D16)),0))</f>
        <v>0.38215351055421143</v>
      </c>
      <c r="M16" s="49">
        <f>IF($E16=0,0,_xlfn.IFERROR(IF($C16=1,(Индикаторы!L16-Индикаторы!$D16)/(Индикаторы!$E16-Индикаторы!$D16),(Индикаторы!$E16-Индикаторы!L16)/(Индикаторы!$E16-Индикаторы!$D16)),0))</f>
        <v>0.35187875243221955</v>
      </c>
      <c r="N16" s="49">
        <f>IF($E16=0,0,_xlfn.IFERROR(IF($C16=1,(Индикаторы!M16-Индикаторы!$D16)/(Индикаторы!$E16-Индикаторы!$D16),(Индикаторы!$E16-Индикаторы!M16)/(Индикаторы!$E16-Индикаторы!$D16)),0))</f>
        <v>1</v>
      </c>
      <c r="O16" s="49">
        <f>IF($E16=0,0,_xlfn.IFERROR(IF($C16=1,(Индикаторы!N16-Индикаторы!$D16)/(Индикаторы!$E16-Индикаторы!$D16),(Индикаторы!$E16-Индикаторы!N16)/(Индикаторы!$E16-Индикаторы!$D16)),0))</f>
        <v>0.17385012954070986</v>
      </c>
      <c r="P16" s="49">
        <f>IF($E16=0,0,_xlfn.IFERROR(IF($C16=1,(Индикаторы!O16-Индикаторы!$D16)/(Индикаторы!$E16-Индикаторы!$D16),(Индикаторы!$E16-Индикаторы!O16)/(Индикаторы!$E16-Индикаторы!$D16)),0))</f>
        <v>0.255569706356507</v>
      </c>
    </row>
    <row r="17" spans="1:16" s="8" customFormat="1" ht="56.25">
      <c r="A17" s="45" t="str">
        <f>Индикаторы!A17</f>
        <v>2.4</v>
      </c>
      <c r="B17" s="78" t="str">
        <f>Индикаторы!B17</f>
        <v>Случаи отвлечения остатков целевых средств бюджета района муниципальными образованиями в отчетном финансовом году</v>
      </c>
      <c r="C17" s="25">
        <v>0</v>
      </c>
      <c r="D17" s="25">
        <v>0.75</v>
      </c>
      <c r="E17" s="72">
        <v>1</v>
      </c>
      <c r="F17" s="25"/>
      <c r="G17" s="25"/>
      <c r="H17" s="25"/>
      <c r="I17" s="49">
        <f>IF($E17=0,0,_xlfn.IFERROR(IF($C17=1,(Индикаторы!H17-Индикаторы!$D17)/(Индикаторы!$E17-Индикаторы!$D17),(Индикаторы!$E17-Индикаторы!H17)/(Индикаторы!$E17-Индикаторы!$D17)),0))</f>
        <v>0</v>
      </c>
      <c r="J17" s="49">
        <f>IF($E17=0,0,_xlfn.IFERROR(IF($C17=1,(Индикаторы!I17-Индикаторы!$D17)/(Индикаторы!$E17-Индикаторы!$D17),(Индикаторы!$E17-Индикаторы!I17)/(Индикаторы!$E17-Индикаторы!$D17)),0))</f>
        <v>0</v>
      </c>
      <c r="K17" s="49">
        <f>IF($E17=0,0,_xlfn.IFERROR(IF($C17=1,(Индикаторы!J17-Индикаторы!$D17)/(Индикаторы!$E17-Индикаторы!$D17),(Индикаторы!$E17-Индикаторы!J17)/(Индикаторы!$E17-Индикаторы!$D17)),0))</f>
        <v>0</v>
      </c>
      <c r="L17" s="49">
        <f>IF($E17=0,0,_xlfn.IFERROR(IF($C17=1,(Индикаторы!K17-Индикаторы!$D17)/(Индикаторы!$E17-Индикаторы!$D17),(Индикаторы!$E17-Индикаторы!K17)/(Индикаторы!$E17-Индикаторы!$D17)),0))</f>
        <v>0</v>
      </c>
      <c r="M17" s="49">
        <f>IF($E17=0,0,_xlfn.IFERROR(IF($C17=1,(Индикаторы!L17-Индикаторы!$D17)/(Индикаторы!$E17-Индикаторы!$D17),(Индикаторы!$E17-Индикаторы!L17)/(Индикаторы!$E17-Индикаторы!$D17)),0))</f>
        <v>0</v>
      </c>
      <c r="N17" s="49">
        <f>IF($E17=0,0,_xlfn.IFERROR(IF($C17=1,(Индикаторы!M17-Индикаторы!$D17)/(Индикаторы!$E17-Индикаторы!$D17),(Индикаторы!$E17-Индикаторы!M17)/(Индикаторы!$E17-Индикаторы!$D17)),0))</f>
        <v>0</v>
      </c>
      <c r="O17" s="49">
        <f>IF($E17=0,0,_xlfn.IFERROR(IF($C17=1,(Индикаторы!N17-Индикаторы!$D17)/(Индикаторы!$E17-Индикаторы!$D17),(Индикаторы!$E17-Индикаторы!N17)/(Индикаторы!$E17-Индикаторы!$D17)),0))</f>
        <v>0</v>
      </c>
      <c r="P17" s="49">
        <f>IF($E17=0,0,_xlfn.IFERROR(IF($C17=1,(Индикаторы!O17-Индикаторы!$D17)/(Индикаторы!$E17-Индикаторы!$D17),(Индикаторы!$E17-Индикаторы!O17)/(Индикаторы!$E17-Индикаторы!$D17)),0))</f>
        <v>0</v>
      </c>
    </row>
    <row r="18" spans="1:16" s="8" customFormat="1" ht="135.75" customHeight="1">
      <c r="A18" s="45" t="str">
        <f>Индикаторы!A18</f>
        <v>2.5</v>
      </c>
      <c r="B18" s="78" t="str">
        <f>Индикаторы!B18</f>
        <v>Отношение объема расходов бюджета муниципального образования в IV квартале к среднему объему расходов за I – III кварталы (без учета расходов, осуществляемых за счет субсидий, субвенций и иных межбюджетных трансфертов,  имеющих целевое назначение из бюджета автономного округа)</v>
      </c>
      <c r="C18" s="25">
        <v>0</v>
      </c>
      <c r="D18" s="25">
        <v>1</v>
      </c>
      <c r="E18" s="72">
        <v>1</v>
      </c>
      <c r="F18" s="25"/>
      <c r="G18" s="25"/>
      <c r="H18" s="25"/>
      <c r="I18" s="49">
        <f>IF($E18=0,0,_xlfn.IFERROR(IF($C18=1,(Индикаторы!H18-Индикаторы!$D18)/(Индикаторы!$E18-Индикаторы!$D18),(Индикаторы!$E18-Индикаторы!H18)/(Индикаторы!$E18-Индикаторы!$D18)),0))</f>
        <v>0</v>
      </c>
      <c r="J18" s="49">
        <f>IF($E18=0,0,_xlfn.IFERROR(IF($C18=1,(Индикаторы!I18-Индикаторы!$D18)/(Индикаторы!$E18-Индикаторы!$D18),(Индикаторы!$E18-Индикаторы!I18)/(Индикаторы!$E18-Индикаторы!$D18)),0))</f>
        <v>0.3066235518615973</v>
      </c>
      <c r="K18" s="49">
        <f>IF($E18=0,0,_xlfn.IFERROR(IF($C18=1,(Индикаторы!J18-Индикаторы!$D18)/(Индикаторы!$E18-Индикаторы!$D18),(Индикаторы!$E18-Индикаторы!J18)/(Индикаторы!$E18-Индикаторы!$D18)),0))</f>
        <v>0.6736056241126179</v>
      </c>
      <c r="L18" s="49">
        <f>IF($E18=0,0,_xlfn.IFERROR(IF($C18=1,(Индикаторы!K18-Индикаторы!$D18)/(Индикаторы!$E18-Индикаторы!$D18),(Индикаторы!$E18-Индикаторы!K18)/(Индикаторы!$E18-Индикаторы!$D18)),0))</f>
        <v>0.8135580427675603</v>
      </c>
      <c r="M18" s="49">
        <f>IF($E18=0,0,_xlfn.IFERROR(IF($C18=1,(Индикаторы!L18-Индикаторы!$D18)/(Индикаторы!$E18-Индикаторы!$D18),(Индикаторы!$E18-Индикаторы!L18)/(Индикаторы!$E18-Индикаторы!$D18)),0))</f>
        <v>0.7634867718415488</v>
      </c>
      <c r="N18" s="49">
        <f>IF($E18=0,0,_xlfn.IFERROR(IF($C18=1,(Индикаторы!M18-Индикаторы!$D18)/(Индикаторы!$E18-Индикаторы!$D18),(Индикаторы!$E18-Индикаторы!M18)/(Индикаторы!$E18-Индикаторы!$D18)),0))</f>
        <v>0.5747785541279314</v>
      </c>
      <c r="O18" s="49">
        <f>IF($E18=0,0,_xlfn.IFERROR(IF($C18=1,(Индикаторы!N18-Индикаторы!$D18)/(Индикаторы!$E18-Индикаторы!$D18),(Индикаторы!$E18-Индикаторы!N18)/(Индикаторы!$E18-Индикаторы!$D18)),0))</f>
        <v>1</v>
      </c>
      <c r="P18" s="49">
        <f>IF($E18=0,0,_xlfn.IFERROR(IF($C18=1,(Индикаторы!O18-Индикаторы!$D18)/(Индикаторы!$E18-Индикаторы!$D18),(Индикаторы!$E18-Индикаторы!O18)/(Индикаторы!$E18-Индикаторы!$D18)),0))</f>
        <v>0.754285511680957</v>
      </c>
    </row>
    <row r="19" spans="1:16" s="8" customFormat="1" ht="159" customHeight="1">
      <c r="A19" s="45" t="str">
        <f>Индикаторы!A19</f>
        <v>2.6</v>
      </c>
      <c r="B19" s="78" t="str">
        <f>Индикаторы!B19</f>
        <v>Доля расходов бюджета муниципального образования на компенсацию предприятиям жилищно-коммунальной сферы разницы между экономически обоснованными тарифами и тарифами, установленными для населения, и на покрытие убытков предприятий жилищно-коммунального хозяйства, в общем объеме расходов бюджета муниципального образования</v>
      </c>
      <c r="C19" s="25">
        <v>0</v>
      </c>
      <c r="D19" s="25">
        <v>1</v>
      </c>
      <c r="E19" s="72">
        <v>1</v>
      </c>
      <c r="F19" s="25"/>
      <c r="G19" s="25"/>
      <c r="H19" s="25"/>
      <c r="I19" s="49">
        <f>IF($E19=0,0,_xlfn.IFERROR(IF($C19=1,(Индикаторы!H19-Индикаторы!$D19)/(Индикаторы!$E19-Индикаторы!$D19),(Индикаторы!$E19-Индикаторы!H19)/(Индикаторы!$E19-Индикаторы!$D19)),0))</f>
        <v>1</v>
      </c>
      <c r="J19" s="49">
        <f>IF($E19=0,0,_xlfn.IFERROR(IF($C19=1,(Индикаторы!I19-Индикаторы!$D19)/(Индикаторы!$E19-Индикаторы!$D19),(Индикаторы!$E19-Индикаторы!I19)/(Индикаторы!$E19-Индикаторы!$D19)),0))</f>
        <v>0.8067797216283733</v>
      </c>
      <c r="K19" s="49">
        <f>IF($E19=0,0,_xlfn.IFERROR(IF($C19=1,(Индикаторы!J19-Индикаторы!$D19)/(Индикаторы!$E19-Индикаторы!$D19),(Индикаторы!$E19-Индикаторы!J19)/(Индикаторы!$E19-Индикаторы!$D19)),0))</f>
        <v>0.9395598116761661</v>
      </c>
      <c r="L19" s="49">
        <f>IF($E19=0,0,_xlfn.IFERROR(IF($C19=1,(Индикаторы!K19-Индикаторы!$D19)/(Индикаторы!$E19-Индикаторы!$D19),(Индикаторы!$E19-Индикаторы!K19)/(Индикаторы!$E19-Индикаторы!$D19)),0))</f>
        <v>0.5866384792865672</v>
      </c>
      <c r="M19" s="49">
        <f>IF($E19=0,0,_xlfn.IFERROR(IF($C19=1,(Индикаторы!L19-Индикаторы!$D19)/(Индикаторы!$E19-Индикаторы!$D19),(Индикаторы!$E19-Индикаторы!L19)/(Индикаторы!$E19-Индикаторы!$D19)),0))</f>
        <v>0.34518599591480764</v>
      </c>
      <c r="N19" s="49">
        <f>IF($E19=0,0,_xlfn.IFERROR(IF($C19=1,(Индикаторы!M19-Индикаторы!$D19)/(Индикаторы!$E19-Индикаторы!$D19),(Индикаторы!$E19-Индикаторы!M19)/(Индикаторы!$E19-Индикаторы!$D19)),0))</f>
        <v>0</v>
      </c>
      <c r="O19" s="49">
        <f>IF($E19=0,0,_xlfn.IFERROR(IF($C19=1,(Индикаторы!N19-Индикаторы!$D19)/(Индикаторы!$E19-Индикаторы!$D19),(Индикаторы!$E19-Индикаторы!N19)/(Индикаторы!$E19-Индикаторы!$D19)),0))</f>
        <v>0.659012876060834</v>
      </c>
      <c r="P19" s="49">
        <f>IF($E19=0,0,_xlfn.IFERROR(IF($C19=1,(Индикаторы!O19-Индикаторы!$D19)/(Индикаторы!$E19-Индикаторы!$D19),(Индикаторы!$E19-Индикаторы!O19)/(Индикаторы!$E19-Индикаторы!$D19)),0))</f>
        <v>0.5672137131369462</v>
      </c>
    </row>
    <row r="20" spans="1:16" s="8" customFormat="1" ht="56.25">
      <c r="A20" s="45" t="str">
        <f>Индикаторы!A20</f>
        <v>2.7</v>
      </c>
      <c r="B20" s="78" t="str">
        <f>Индикаторы!B20</f>
        <v>Отсутствие просроченной кредиторской за-долженности бюджета поселения в отчетном финансовом году на отчетные даты</v>
      </c>
      <c r="C20" s="25">
        <v>0</v>
      </c>
      <c r="D20" s="25">
        <v>1</v>
      </c>
      <c r="E20" s="72">
        <v>1</v>
      </c>
      <c r="F20" s="25"/>
      <c r="G20" s="25"/>
      <c r="H20" s="25"/>
      <c r="I20" s="49">
        <f>IF($E20=0,0,_xlfn.IFERROR(IF($C20=1,(Индикаторы!H20-Индикаторы!$D20)/(Индикаторы!$E20-Индикаторы!$D20),(Индикаторы!$E20-Индикаторы!H20)/(Индикаторы!$E20-Индикаторы!$D20)),))</f>
        <v>0</v>
      </c>
      <c r="J20" s="49">
        <f>IF($E20=0,0,_xlfn.IFERROR(IF($C20=1,(Индикаторы!I20-Индикаторы!$D20)/(Индикаторы!$E20-Индикаторы!$D20),(Индикаторы!$E20-Индикаторы!I20)/(Индикаторы!$E20-Индикаторы!$D20)),))</f>
        <v>0</v>
      </c>
      <c r="K20" s="49">
        <f>IF($E20=0,0,_xlfn.IFERROR(IF($C20=1,(Индикаторы!J20-Индикаторы!$D20)/(Индикаторы!$E20-Индикаторы!$D20),(Индикаторы!$E20-Индикаторы!J20)/(Индикаторы!$E20-Индикаторы!$D20)),))</f>
        <v>0</v>
      </c>
      <c r="L20" s="49">
        <f>IF($E20=0,0,_xlfn.IFERROR(IF($C20=1,(Индикаторы!K20-Индикаторы!$D20)/(Индикаторы!$E20-Индикаторы!$D20),(Индикаторы!$E20-Индикаторы!K20)/(Индикаторы!$E20-Индикаторы!$D20)),))</f>
        <v>0</v>
      </c>
      <c r="M20" s="49">
        <f>IF($E20=0,0,_xlfn.IFERROR(IF($C20=1,(Индикаторы!L20-Индикаторы!$D20)/(Индикаторы!$E20-Индикаторы!$D20),(Индикаторы!$E20-Индикаторы!L20)/(Индикаторы!$E20-Индикаторы!$D20)),))</f>
        <v>0</v>
      </c>
      <c r="N20" s="49">
        <f>IF($E20=0,0,_xlfn.IFERROR(IF($C20=1,(Индикаторы!M20-Индикаторы!$D20)/(Индикаторы!$E20-Индикаторы!$D20),(Индикаторы!$E20-Индикаторы!M20)/(Индикаторы!$E20-Индикаторы!$D20)),))</f>
        <v>0</v>
      </c>
      <c r="O20" s="49">
        <f>IF($E20=0,0,_xlfn.IFERROR(IF($C20=1,(Индикаторы!N20-Индикаторы!$D20)/(Индикаторы!$E20-Индикаторы!$D20),(Индикаторы!$E20-Индикаторы!N20)/(Индикаторы!$E20-Индикаторы!$D20)),))</f>
        <v>0</v>
      </c>
      <c r="P20" s="49">
        <f>IF($E20=0,0,_xlfn.IFERROR(IF($C20=1,(Индикаторы!O20-Индикаторы!$D20)/(Индикаторы!$E20-Индикаторы!$D20),(Индикаторы!$E20-Индикаторы!O20)/(Индикаторы!$E20-Индикаторы!$D20)),))</f>
        <v>0</v>
      </c>
    </row>
    <row r="21" spans="1:16" s="8" customFormat="1" ht="75">
      <c r="A21" s="45" t="str">
        <f>Индикаторы!A21</f>
        <v>2.8</v>
      </c>
      <c r="B21" s="78" t="str">
        <f>Индикаторы!B21</f>
        <v>Отсутствие просроченной кредиторской за-долженности бюджета поселения по выплате заработной платы за счет средств местного бюджета</v>
      </c>
      <c r="C21" s="25">
        <v>0</v>
      </c>
      <c r="D21" s="25">
        <v>1</v>
      </c>
      <c r="E21" s="72">
        <v>1</v>
      </c>
      <c r="F21" s="25"/>
      <c r="G21" s="25"/>
      <c r="H21" s="25"/>
      <c r="I21" s="49">
        <f>IF($E21=0,0,_xlfn.IFERROR(IF($C21=1,(Индикаторы!H21-Индикаторы!$D21)/(Индикаторы!$E21-Индикаторы!$D21),(Индикаторы!$E21-Индикаторы!H21)/(Индикаторы!$E21-Индикаторы!$D21)),))</f>
        <v>0</v>
      </c>
      <c r="J21" s="49">
        <f>IF($E21=0,0,_xlfn.IFERROR(IF($C21=1,(Индикаторы!I21-Индикаторы!$D21)/(Индикаторы!$E21-Индикаторы!$D21),(Индикаторы!$E21-Индикаторы!I21)/(Индикаторы!$E21-Индикаторы!$D21)),))</f>
        <v>0</v>
      </c>
      <c r="K21" s="49">
        <f>IF($E21=0,0,_xlfn.IFERROR(IF($C21=1,(Индикаторы!J21-Индикаторы!$D21)/(Индикаторы!$E21-Индикаторы!$D21),(Индикаторы!$E21-Индикаторы!J21)/(Индикаторы!$E21-Индикаторы!$D21)),))</f>
        <v>0</v>
      </c>
      <c r="L21" s="49">
        <f>IF($E21=0,0,_xlfn.IFERROR(IF($C21=1,(Индикаторы!K21-Индикаторы!$D21)/(Индикаторы!$E21-Индикаторы!$D21),(Индикаторы!$E21-Индикаторы!K21)/(Индикаторы!$E21-Индикаторы!$D21)),))</f>
        <v>0</v>
      </c>
      <c r="M21" s="49">
        <f>IF($E21=0,0,_xlfn.IFERROR(IF($C21=1,(Индикаторы!L21-Индикаторы!$D21)/(Индикаторы!$E21-Индикаторы!$D21),(Индикаторы!$E21-Индикаторы!L21)/(Индикаторы!$E21-Индикаторы!$D21)),))</f>
        <v>0</v>
      </c>
      <c r="N21" s="49">
        <f>IF($E21=0,0,_xlfn.IFERROR(IF($C21=1,(Индикаторы!M21-Индикаторы!$D21)/(Индикаторы!$E21-Индикаторы!$D21),(Индикаторы!$E21-Индикаторы!M21)/(Индикаторы!$E21-Индикаторы!$D21)),))</f>
        <v>0</v>
      </c>
      <c r="O21" s="49">
        <f>IF($E21=0,0,_xlfn.IFERROR(IF($C21=1,(Индикаторы!N21-Индикаторы!$D21)/(Индикаторы!$E21-Индикаторы!$D21),(Индикаторы!$E21-Индикаторы!N21)/(Индикаторы!$E21-Индикаторы!$D21)),))</f>
        <v>0</v>
      </c>
      <c r="P21" s="49">
        <f>IF($E21=0,0,_xlfn.IFERROR(IF($C21=1,(Индикаторы!O21-Индикаторы!$D21)/(Индикаторы!$E21-Индикаторы!$D21),(Индикаторы!$E21-Индикаторы!O21)/(Индикаторы!$E21-Индикаторы!$D21)),))</f>
        <v>0</v>
      </c>
    </row>
    <row r="22" spans="1:16" s="8" customFormat="1" ht="121.5" customHeight="1">
      <c r="A22" s="45" t="str">
        <f>Индикаторы!A22</f>
        <v>2.9</v>
      </c>
      <c r="B22" s="78" t="str">
        <f>Индикаторы!B22</f>
        <v>Наличие результатов оценки качества финансового менеджмента главных распорядителей (распорядителей) средств бюджета муниципального образования и формирование их ежегодного рейтинга на основе методики, утвержденной  муниципальным правовым актом </v>
      </c>
      <c r="C22" s="25">
        <v>1</v>
      </c>
      <c r="D22" s="25">
        <v>0.5</v>
      </c>
      <c r="E22" s="72">
        <v>1</v>
      </c>
      <c r="F22" s="25"/>
      <c r="G22" s="25"/>
      <c r="H22" s="25"/>
      <c r="I22" s="49">
        <f>IF($E22=0,0,_xlfn.IFERROR(IF($C22=1,(Индикаторы!H22-Индикаторы!$D22)/(Индикаторы!$E22-Индикаторы!$D22),(Индикаторы!$E22-Индикаторы!H22)/(Индикаторы!$E22-Индикаторы!$D22)),0))</f>
        <v>1</v>
      </c>
      <c r="J22" s="49">
        <f>IF($E22=0,0,_xlfn.IFERROR(IF($C22=1,(Индикаторы!I22-Индикаторы!$D22)/(Индикаторы!$E22-Индикаторы!$D22),(Индикаторы!$E22-Индикаторы!I22)/(Индикаторы!$E22-Индикаторы!$D22)),0))</f>
        <v>0</v>
      </c>
      <c r="K22" s="49">
        <f>IF($E22=0,0,_xlfn.IFERROR(IF($C22=1,(Индикаторы!J22-Индикаторы!$D22)/(Индикаторы!$E22-Индикаторы!$D22),(Индикаторы!$E22-Индикаторы!J22)/(Индикаторы!$E22-Индикаторы!$D22)),0))</f>
        <v>0</v>
      </c>
      <c r="L22" s="49">
        <f>IF($E22=0,0,_xlfn.IFERROR(IF($C22=1,(Индикаторы!K22-Индикаторы!$D22)/(Индикаторы!$E22-Индикаторы!$D22),(Индикаторы!$E22-Индикаторы!K22)/(Индикаторы!$E22-Индикаторы!$D22)),0))</f>
        <v>0</v>
      </c>
      <c r="M22" s="49">
        <f>IF($E22=0,0,_xlfn.IFERROR(IF($C22=1,(Индикаторы!L22-Индикаторы!$D22)/(Индикаторы!$E22-Индикаторы!$D22),(Индикаторы!$E22-Индикаторы!L22)/(Индикаторы!$E22-Индикаторы!$D22)),0))</f>
        <v>0</v>
      </c>
      <c r="N22" s="49">
        <f>IF($E22=0,0,_xlfn.IFERROR(IF($C22=1,(Индикаторы!M22-Индикаторы!$D22)/(Индикаторы!$E22-Индикаторы!$D22),(Индикаторы!$E22-Индикаторы!M22)/(Индикаторы!$E22-Индикаторы!$D22)),0))</f>
        <v>0</v>
      </c>
      <c r="O22" s="49">
        <f>IF($E22=0,0,_xlfn.IFERROR(IF($C22=1,(Индикаторы!N22-Индикаторы!$D22)/(Индикаторы!$E22-Индикаторы!$D22),(Индикаторы!$E22-Индикаторы!N22)/(Индикаторы!$E22-Индикаторы!$D22)),0))</f>
        <v>0</v>
      </c>
      <c r="P22" s="49">
        <f>IF($E22=0,0,_xlfn.IFERROR(IF($C22=1,(Индикаторы!O22-Индикаторы!$D22)/(Индикаторы!$E22-Индикаторы!$D22),(Индикаторы!$E22-Индикаторы!O22)/(Индикаторы!$E22-Индикаторы!$D22)),0))</f>
        <v>0</v>
      </c>
    </row>
    <row r="23" spans="1:16" s="8" customFormat="1" ht="93.75">
      <c r="A23" s="45" t="str">
        <f>Индикаторы!A23</f>
        <v>2.10</v>
      </c>
      <c r="B23" s="78" t="str">
        <f>Индикаторы!B23</f>
        <v>Наличие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муниципальным правовым актом  </v>
      </c>
      <c r="C23" s="25">
        <v>1</v>
      </c>
      <c r="D23" s="25">
        <v>0.5</v>
      </c>
      <c r="E23" s="72">
        <v>1</v>
      </c>
      <c r="F23" s="25"/>
      <c r="G23" s="25"/>
      <c r="H23" s="25"/>
      <c r="I23" s="49">
        <f>IF($E23=0,0,_xlfn.IFERROR(IF($C23=1,(Индикаторы!H23-Индикаторы!$D23)/(Индикаторы!$E23-Индикаторы!$D23),(Индикаторы!$E23-Индикаторы!H23)/(Индикаторы!$E23-Индикаторы!$D23)),0))</f>
        <v>0</v>
      </c>
      <c r="J23" s="49">
        <f>IF($E23=0,0,_xlfn.IFERROR(IF($C23=1,(Индикаторы!I23-Индикаторы!$D23)/(Индикаторы!$E23-Индикаторы!$D23),(Индикаторы!$E23-Индикаторы!I23)/(Индикаторы!$E23-Индикаторы!$D23)),0))</f>
        <v>0</v>
      </c>
      <c r="K23" s="49">
        <f>IF($E23=0,0,_xlfn.IFERROR(IF($C23=1,(Индикаторы!J23-Индикаторы!$D23)/(Индикаторы!$E23-Индикаторы!$D23),(Индикаторы!$E23-Индикаторы!J23)/(Индикаторы!$E23-Индикаторы!$D23)),0))</f>
        <v>0</v>
      </c>
      <c r="L23" s="49">
        <f>IF($E23=0,0,_xlfn.IFERROR(IF($C23=1,(Индикаторы!K23-Индикаторы!$D23)/(Индикаторы!$E23-Индикаторы!$D23),(Индикаторы!$E23-Индикаторы!K23)/(Индикаторы!$E23-Индикаторы!$D23)),0))</f>
        <v>0</v>
      </c>
      <c r="M23" s="49">
        <f>IF($E23=0,0,_xlfn.IFERROR(IF($C23=1,(Индикаторы!L23-Индикаторы!$D23)/(Индикаторы!$E23-Индикаторы!$D23),(Индикаторы!$E23-Индикаторы!L23)/(Индикаторы!$E23-Индикаторы!$D23)),0))</f>
        <v>0</v>
      </c>
      <c r="N23" s="49">
        <f>IF($E23=0,0,_xlfn.IFERROR(IF($C23=1,(Индикаторы!M23-Индикаторы!$D23)/(Индикаторы!$E23-Индикаторы!$D23),(Индикаторы!$E23-Индикаторы!M23)/(Индикаторы!$E23-Индикаторы!$D23)),0))</f>
        <v>0</v>
      </c>
      <c r="O23" s="49">
        <f>IF($E23=0,0,_xlfn.IFERROR(IF($C23=1,(Индикаторы!N23-Индикаторы!$D23)/(Индикаторы!$E23-Индикаторы!$D23),(Индикаторы!$E23-Индикаторы!N23)/(Индикаторы!$E23-Индикаторы!$D23)),0))</f>
        <v>0</v>
      </c>
      <c r="P23" s="49">
        <f>IF($E23=0,0,_xlfn.IFERROR(IF($C23=1,(Индикаторы!O23-Индикаторы!$D23)/(Индикаторы!$E23-Индикаторы!$D23),(Индикаторы!$E23-Индикаторы!O23)/(Индикаторы!$E23-Индикаторы!$D23)),0))</f>
        <v>0</v>
      </c>
    </row>
    <row r="24" spans="1:16" s="8" customFormat="1" ht="18.75">
      <c r="A24" s="45"/>
      <c r="B24" s="80"/>
      <c r="C24" s="25"/>
      <c r="D24" s="25"/>
      <c r="E24" s="72"/>
      <c r="F24" s="75"/>
      <c r="G24" s="25"/>
      <c r="H24" s="25"/>
      <c r="I24" s="49"/>
      <c r="J24" s="49"/>
      <c r="K24" s="49"/>
      <c r="L24" s="49"/>
      <c r="M24" s="49"/>
      <c r="N24" s="49"/>
      <c r="O24" s="49"/>
      <c r="P24" s="49"/>
    </row>
    <row r="25" spans="1:16" s="58" customFormat="1" ht="18.75">
      <c r="A25" s="52"/>
      <c r="B25" s="79" t="s">
        <v>14</v>
      </c>
      <c r="C25" s="54"/>
      <c r="D25" s="73">
        <v>2</v>
      </c>
      <c r="E25" s="74"/>
      <c r="F25" s="55"/>
      <c r="G25" s="56"/>
      <c r="H25" s="56"/>
      <c r="I25" s="105">
        <f>SUMPRODUCT($E$26:$E$28,$D$26:$D$28,I26:I28)</f>
        <v>3.5</v>
      </c>
      <c r="J25" s="105">
        <f aca="true" t="shared" si="3" ref="J25:O25">SUMPRODUCT($E$26:$E$28,$D$26:$D$28,J26:J28)</f>
        <v>3.5</v>
      </c>
      <c r="K25" s="105">
        <f t="shared" si="3"/>
        <v>3.5</v>
      </c>
      <c r="L25" s="105">
        <f t="shared" si="3"/>
        <v>3.5</v>
      </c>
      <c r="M25" s="105">
        <f t="shared" si="3"/>
        <v>3.5</v>
      </c>
      <c r="N25" s="105">
        <f t="shared" si="3"/>
        <v>3.5</v>
      </c>
      <c r="O25" s="105">
        <f t="shared" si="3"/>
        <v>3.5</v>
      </c>
      <c r="P25" s="105">
        <f>SUMPRODUCT($E$26:$E$28,$D$26:$D$28,P26:P28)</f>
        <v>3.5</v>
      </c>
    </row>
    <row r="26" spans="1:16" s="8" customFormat="1" ht="37.5">
      <c r="A26" s="25" t="str">
        <f>Индикаторы!A26</f>
        <v>3.1</v>
      </c>
      <c r="B26" s="78" t="str">
        <f>Индикаторы!B26</f>
        <v>Отсутствие просроченной задолженности по долговым обязательствам</v>
      </c>
      <c r="C26" s="25">
        <v>0</v>
      </c>
      <c r="D26" s="25">
        <v>3.5</v>
      </c>
      <c r="E26" s="72">
        <v>1</v>
      </c>
      <c r="F26" s="25"/>
      <c r="G26" s="25"/>
      <c r="H26" s="25"/>
      <c r="I26" s="49">
        <f>IF($E26=0,0,_xlfn.IFERROR(IF($C26=0,(Индикаторы!H26-Индикаторы!$D26)/(Индикаторы!$E26-Индикаторы!$D26),(Индикаторы!$E26-Индикаторы!H26)/(Индикаторы!$E26-Индикаторы!$D26)),))</f>
        <v>1</v>
      </c>
      <c r="J26" s="49">
        <f>IF($E26=0,0,_xlfn.IFERROR(IF($C26=0,(Индикаторы!I26-Индикаторы!$D26)/(Индикаторы!$E26-Индикаторы!$D26),(Индикаторы!$E26-Индикаторы!I26)/(Индикаторы!$E26-Индикаторы!$D26)),))</f>
        <v>1</v>
      </c>
      <c r="K26" s="49">
        <f>IF($E26=0,0,_xlfn.IFERROR(IF($C26=0,(Индикаторы!J26-Индикаторы!$D26)/(Индикаторы!$E26-Индикаторы!$D26),(Индикаторы!$E26-Индикаторы!J26)/(Индикаторы!$E26-Индикаторы!$D26)),))</f>
        <v>1</v>
      </c>
      <c r="L26" s="49">
        <f>IF($E26=0,0,_xlfn.IFERROR(IF($C26=0,(Индикаторы!K26-Индикаторы!$D26)/(Индикаторы!$E26-Индикаторы!$D26),(Индикаторы!$E26-Индикаторы!K26)/(Индикаторы!$E26-Индикаторы!$D26)),))</f>
        <v>1</v>
      </c>
      <c r="M26" s="49">
        <f>IF($E26=0,0,_xlfn.IFERROR(IF($C26=0,(Индикаторы!L26-Индикаторы!$D26)/(Индикаторы!$E26-Индикаторы!$D26),(Индикаторы!$E26-Индикаторы!L26)/(Индикаторы!$E26-Индикаторы!$D26)),))</f>
        <v>1</v>
      </c>
      <c r="N26" s="49">
        <f>IF($E26=0,0,_xlfn.IFERROR(IF($C26=0,(Индикаторы!M26-Индикаторы!$D26)/(Индикаторы!$E26-Индикаторы!$D26),(Индикаторы!$E26-Индикаторы!M26)/(Индикаторы!$E26-Индикаторы!$D26)),))</f>
        <v>1</v>
      </c>
      <c r="O26" s="49">
        <f>IF($E26=0,0,_xlfn.IFERROR(IF($C26=0,(Индикаторы!N26-Индикаторы!$D26)/(Индикаторы!$E26-Индикаторы!$D26),(Индикаторы!$E26-Индикаторы!N26)/(Индикаторы!$E26-Индикаторы!$D26)),))</f>
        <v>1</v>
      </c>
      <c r="P26" s="49">
        <f>IF($E26=0,0,_xlfn.IFERROR(IF($C26=0,(Индикаторы!O26-Индикаторы!$D26)/(Индикаторы!$E26-Индикаторы!$D26),(Индикаторы!$E26-Индикаторы!O26)/(Индикаторы!$E26-Индикаторы!$D26)),))</f>
        <v>1</v>
      </c>
    </row>
    <row r="27" spans="1:16" s="8" customFormat="1" ht="56.25">
      <c r="A27" s="25" t="str">
        <f>Индикаторы!A27</f>
        <v>3.2</v>
      </c>
      <c r="B27" s="78" t="str">
        <f>Индикаторы!B27</f>
        <v>Отсутствие выплат поселением по предос-тавленным муниципальным гарантиям в отчетном финансовом году</v>
      </c>
      <c r="C27" s="25">
        <v>0</v>
      </c>
      <c r="D27" s="25">
        <v>3</v>
      </c>
      <c r="E27" s="72">
        <v>1</v>
      </c>
      <c r="F27" s="25"/>
      <c r="G27" s="25"/>
      <c r="H27" s="25"/>
      <c r="I27" s="49">
        <f>IF($E27=0,0,_xlfn.IFERROR(IF($C27=1,(Индикаторы!H27-Индикаторы!$D27)/(Индикаторы!$E27-Индикаторы!$D27),(Индикаторы!$E27-Индикаторы!H27)/(Индикаторы!$E27-Индикаторы!$D27)),))</f>
        <v>0</v>
      </c>
      <c r="J27" s="49">
        <f>IF($E27=0,0,_xlfn.IFERROR(IF($C27=1,(Индикаторы!I27-Индикаторы!$D27)/(Индикаторы!$E27-Индикаторы!$D27),(Индикаторы!$E27-Индикаторы!I27)/(Индикаторы!$E27-Индикаторы!$D27)),))</f>
        <v>0</v>
      </c>
      <c r="K27" s="49">
        <f>IF($E27=0,0,_xlfn.IFERROR(IF($C27=1,(Индикаторы!J27-Индикаторы!$D27)/(Индикаторы!$E27-Индикаторы!$D27),(Индикаторы!$E27-Индикаторы!J27)/(Индикаторы!$E27-Индикаторы!$D27)),))</f>
        <v>0</v>
      </c>
      <c r="L27" s="49">
        <f>IF($E27=0,0,_xlfn.IFERROR(IF($C27=1,(Индикаторы!K27-Индикаторы!$D27)/(Индикаторы!$E27-Индикаторы!$D27),(Индикаторы!$E27-Индикаторы!K27)/(Индикаторы!$E27-Индикаторы!$D27)),))</f>
        <v>0</v>
      </c>
      <c r="M27" s="49">
        <f>IF($E27=0,0,_xlfn.IFERROR(IF($C27=1,(Индикаторы!L27-Индикаторы!$D27)/(Индикаторы!$E27-Индикаторы!$D27),(Индикаторы!$E27-Индикаторы!L27)/(Индикаторы!$E27-Индикаторы!$D27)),))</f>
        <v>0</v>
      </c>
      <c r="N27" s="49">
        <f>IF($E27=0,0,_xlfn.IFERROR(IF($C27=1,(Индикаторы!M27-Индикаторы!$D27)/(Индикаторы!$E27-Индикаторы!$D27),(Индикаторы!$E27-Индикаторы!M27)/(Индикаторы!$E27-Индикаторы!$D27)),))</f>
        <v>0</v>
      </c>
      <c r="O27" s="49">
        <f>IF($E27=0,0,_xlfn.IFERROR(IF($C27=1,(Индикаторы!N27-Индикаторы!$D27)/(Индикаторы!$E27-Индикаторы!$D27),(Индикаторы!$E27-Индикаторы!N27)/(Индикаторы!$E27-Индикаторы!$D27)),))</f>
        <v>0</v>
      </c>
      <c r="P27" s="49">
        <f>IF($E27=0,0,_xlfn.IFERROR(IF($C27=1,(Индикаторы!O27-Индикаторы!$D27)/(Индикаторы!$E27-Индикаторы!$D27),(Индикаторы!$E27-Индикаторы!O27)/(Индикаторы!$E27-Индикаторы!$D27)),))</f>
        <v>0</v>
      </c>
    </row>
    <row r="28" spans="1:16" s="8" customFormat="1" ht="18.75">
      <c r="A28" s="25" t="str">
        <f>Индикаторы!A28</f>
        <v>3.3</v>
      </c>
      <c r="B28" s="78" t="str">
        <f>Индикаторы!B28</f>
        <v>Уровень долговой нагрузки на местный бюджет</v>
      </c>
      <c r="C28" s="25">
        <v>0</v>
      </c>
      <c r="D28" s="25">
        <v>3.5</v>
      </c>
      <c r="E28" s="72">
        <v>1</v>
      </c>
      <c r="F28" s="25"/>
      <c r="G28" s="25"/>
      <c r="H28" s="25"/>
      <c r="I28" s="49">
        <f>IF($E28=0,0,_xlfn.IFERROR(IF($C28=1,(Индикаторы!H28-Индикаторы!$D28)/(Индикаторы!$E28-Индикаторы!$D28),(Индикаторы!$E28-Индикаторы!H28)/(Индикаторы!$E28-Индикаторы!$D28)),))</f>
        <v>0</v>
      </c>
      <c r="J28" s="49">
        <f>IF($E28=0,0,_xlfn.IFERROR(IF($C28=1,(Индикаторы!I28-Индикаторы!$D28)/(Индикаторы!$E28-Индикаторы!$D28),(Индикаторы!$E28-Индикаторы!I28)/(Индикаторы!$E28-Индикаторы!$D28)),))</f>
        <v>0</v>
      </c>
      <c r="K28" s="49">
        <f>IF($E28=0,0,_xlfn.IFERROR(IF($C28=1,(Индикаторы!J28-Индикаторы!$D28)/(Индикаторы!$E28-Индикаторы!$D28),(Индикаторы!$E28-Индикаторы!J28)/(Индикаторы!$E28-Индикаторы!$D28)),))</f>
        <v>0</v>
      </c>
      <c r="L28" s="49">
        <f>IF($E28=0,0,_xlfn.IFERROR(IF($C28=1,(Индикаторы!K28-Индикаторы!$D28)/(Индикаторы!$E28-Индикаторы!$D28),(Индикаторы!$E28-Индикаторы!K28)/(Индикаторы!$E28-Индикаторы!$D28)),))</f>
        <v>0</v>
      </c>
      <c r="M28" s="49">
        <f>IF($E28=0,0,_xlfn.IFERROR(IF($C28=1,(Индикаторы!L28-Индикаторы!$D28)/(Индикаторы!$E28-Индикаторы!$D28),(Индикаторы!$E28-Индикаторы!L28)/(Индикаторы!$E28-Индикаторы!$D28)),))</f>
        <v>0</v>
      </c>
      <c r="N28" s="49">
        <f>IF($E28=0,0,_xlfn.IFERROR(IF($C28=1,(Индикаторы!M28-Индикаторы!$D28)/(Индикаторы!$E28-Индикаторы!$D28),(Индикаторы!$E28-Индикаторы!M28)/(Индикаторы!$E28-Индикаторы!$D28)),))</f>
        <v>0</v>
      </c>
      <c r="O28" s="49">
        <f>IF($E28=0,0,_xlfn.IFERROR(IF($C28=1,(Индикаторы!N28-Индикаторы!$D28)/(Индикаторы!$E28-Индикаторы!$D28),(Индикаторы!$E28-Индикаторы!N28)/(Индикаторы!$E28-Индикаторы!$D28)),))</f>
        <v>0</v>
      </c>
      <c r="P28" s="49">
        <f>IF($E28=0,0,_xlfn.IFERROR(IF($C28=1,(Индикаторы!O28-Индикаторы!$D28)/(Индикаторы!$E28-Индикаторы!$D28),(Индикаторы!$E28-Индикаторы!O28)/(Индикаторы!$E28-Индикаторы!$D28)),))</f>
        <v>0</v>
      </c>
    </row>
    <row r="29" spans="1:16" s="58" customFormat="1" ht="18.75">
      <c r="A29" s="52"/>
      <c r="B29" s="79" t="s">
        <v>15</v>
      </c>
      <c r="C29" s="54"/>
      <c r="D29" s="73">
        <v>2</v>
      </c>
      <c r="E29" s="74"/>
      <c r="F29" s="55"/>
      <c r="G29" s="56"/>
      <c r="H29" s="56"/>
      <c r="I29" s="105">
        <f aca="true" t="shared" si="4" ref="I29:O29">SUMPRODUCT($E$30:$E$36,$D$30:$D$36,I30:I36)</f>
        <v>1.5</v>
      </c>
      <c r="J29" s="105">
        <f t="shared" si="4"/>
        <v>1</v>
      </c>
      <c r="K29" s="105">
        <f t="shared" si="4"/>
        <v>0</v>
      </c>
      <c r="L29" s="105">
        <f t="shared" si="4"/>
        <v>1.5</v>
      </c>
      <c r="M29" s="105">
        <f t="shared" si="4"/>
        <v>1</v>
      </c>
      <c r="N29" s="105">
        <f t="shared" si="4"/>
        <v>5.75</v>
      </c>
      <c r="O29" s="105">
        <f t="shared" si="4"/>
        <v>1.5</v>
      </c>
      <c r="P29" s="105">
        <f>SUMPRODUCT($E$30:$E$36,$D$30:$D$36,P30:P36)</f>
        <v>1.5</v>
      </c>
    </row>
    <row r="30" spans="1:16" s="8" customFormat="1" ht="77.25" customHeight="1">
      <c r="A30" s="25" t="str">
        <f>Индикаторы!A30</f>
        <v>4.1</v>
      </c>
      <c r="B30" s="78" t="str">
        <f>Индикаторы!B30</f>
        <v>Доля руководителей муниципальных учреждений поселения для которых оплата труда определяется с учетом результатов их профессиональной деятельности</v>
      </c>
      <c r="C30" s="25">
        <v>1</v>
      </c>
      <c r="D30" s="25">
        <v>1.5</v>
      </c>
      <c r="E30" s="72">
        <v>1</v>
      </c>
      <c r="F30" s="25"/>
      <c r="G30" s="25"/>
      <c r="H30" s="25"/>
      <c r="I30" s="49">
        <f>IF($E30=0,0,_xlfn.IFERROR(IF($C30=1,(Индикаторы!H30-Индикаторы!$D30)/(Индикаторы!$E30-Индикаторы!$D30),(Индикаторы!$E30-Индикаторы!H30)/(Индикаторы!$E30-Индикаторы!$D30)),0))</f>
        <v>0.5</v>
      </c>
      <c r="J30" s="49">
        <f>IF($E30=0,0,_xlfn.IFERROR(IF($C30=1,(Индикаторы!I30-Индикаторы!$D30)/(Индикаторы!$E30-Индикаторы!$D30),(Индикаторы!$E30-Индикаторы!I30)/(Индикаторы!$E30-Индикаторы!$D30)),0))</f>
        <v>0.6666666666666666</v>
      </c>
      <c r="K30" s="49">
        <f>IF($E30=0,0,_xlfn.IFERROR(IF($C30=1,(Индикаторы!J30-Индикаторы!$D30)/(Индикаторы!$E30-Индикаторы!$D30),(Индикаторы!$E30-Индикаторы!J30)/(Индикаторы!$E30-Индикаторы!$D30)),0))</f>
        <v>0</v>
      </c>
      <c r="L30" s="49">
        <f>IF($E30=0,0,_xlfn.IFERROR(IF($C30=1,(Индикаторы!K30-Индикаторы!$D30)/(Индикаторы!$E30-Индикаторы!$D30),(Индикаторы!$E30-Индикаторы!K30)/(Индикаторы!$E30-Индикаторы!$D30)),0))</f>
        <v>0.5</v>
      </c>
      <c r="M30" s="49">
        <f>IF($E30=0,0,_xlfn.IFERROR(IF($C30=1,(Индикаторы!L30-Индикаторы!$D30)/(Индикаторы!$E30-Индикаторы!$D30),(Индикаторы!$E30-Индикаторы!L30)/(Индикаторы!$E30-Индикаторы!$D30)),0))</f>
        <v>0.6666666666666666</v>
      </c>
      <c r="N30" s="49">
        <f>IF($E30=0,0,_xlfn.IFERROR(IF($C30=1,(Индикаторы!M30-Индикаторы!$D30)/(Индикаторы!$E30-Индикаторы!$D30),(Индикаторы!$E30-Индикаторы!M30)/(Индикаторы!$E30-Индикаторы!$D30)),0))</f>
        <v>1</v>
      </c>
      <c r="O30" s="49">
        <f>IF($E30=0,0,_xlfn.IFERROR(IF($C30=1,(Индикаторы!N30-Индикаторы!$D30)/(Индикаторы!$E30-Индикаторы!$D30),(Индикаторы!$E30-Индикаторы!N30)/(Индикаторы!$E30-Индикаторы!$D30)),0))</f>
        <v>1</v>
      </c>
      <c r="P30" s="49">
        <f>IF($E30=0,0,_xlfn.IFERROR(IF($C30=1,(Индикаторы!O30-Индикаторы!$D30)/(Индикаторы!$E30-Индикаторы!$D30),(Индикаторы!$E30-Индикаторы!O30)/(Индикаторы!$E30-Индикаторы!$D30)),0))</f>
        <v>1</v>
      </c>
    </row>
    <row r="31" spans="1:16" s="8" customFormat="1" ht="102.75" customHeight="1">
      <c r="A31" s="25" t="str">
        <f>Индикаторы!A31</f>
        <v>4.2</v>
      </c>
      <c r="B31" s="78" t="str">
        <f>Индикаторы!B31</f>
        <v>Осуществление мониторинга оказания му-ниципальных услуг (выполнения работ) и формирование планов по решению выяв-ленных проблем в соответствии с норматив-ным правовым актом в сфере культуры</v>
      </c>
      <c r="C31" s="25">
        <v>1</v>
      </c>
      <c r="D31" s="25">
        <v>1.5</v>
      </c>
      <c r="E31" s="72">
        <v>1</v>
      </c>
      <c r="F31" s="25"/>
      <c r="G31" s="25"/>
      <c r="H31" s="25"/>
      <c r="I31" s="49">
        <f>IF($E31=0,0,_xlfn.IFERROR(IF($C31=1,(Индикаторы!H31-Индикаторы!$D31)/(Индикаторы!$E31-Индикаторы!$D31),(Индикаторы!$E31-Индикаторы!H31)/(Индикаторы!$E31-Индикаторы!$D31)),0))</f>
        <v>0</v>
      </c>
      <c r="J31" s="49">
        <f>IF($E31=0,0,_xlfn.IFERROR(IF($C31=1,(Индикаторы!I31-Индикаторы!$D31)/(Индикаторы!$E31-Индикаторы!$D31),(Индикаторы!$E31-Индикаторы!I31)/(Индикаторы!$E31-Индикаторы!$D31)),0))</f>
        <v>0</v>
      </c>
      <c r="K31" s="49">
        <f>IF($E31=0,0,_xlfn.IFERROR(IF($C31=1,(Индикаторы!J31-Индикаторы!$D31)/(Индикаторы!$E31-Индикаторы!$D31),(Индикаторы!$E31-Индикаторы!J31)/(Индикаторы!$E31-Индикаторы!$D31)),0))</f>
        <v>0</v>
      </c>
      <c r="L31" s="49">
        <f>IF($E31=0,0,_xlfn.IFERROR(IF($C31=1,(Индикаторы!K31-Индикаторы!$D31)/(Индикаторы!$E31-Индикаторы!$D31),(Индикаторы!$E31-Индикаторы!K31)/(Индикаторы!$E31-Индикаторы!$D31)),0))</f>
        <v>0</v>
      </c>
      <c r="M31" s="49">
        <f>IF($E31=0,0,_xlfn.IFERROR(IF($C31=1,(Индикаторы!L31-Индикаторы!$D31)/(Индикаторы!$E31-Индикаторы!$D31),(Индикаторы!$E31-Индикаторы!L31)/(Индикаторы!$E31-Индикаторы!$D31)),0))</f>
        <v>0</v>
      </c>
      <c r="N31" s="49">
        <f>IF($E31=0,0,_xlfn.IFERROR(IF($C31=1,(Индикаторы!M31-Индикаторы!$D31)/(Индикаторы!$E31-Индикаторы!$D31),(Индикаторы!$E31-Индикаторы!M31)/(Индикаторы!$E31-Индикаторы!$D31)),0))</f>
        <v>0</v>
      </c>
      <c r="O31" s="49">
        <f>IF($E31=0,0,_xlfn.IFERROR(IF($C31=1,(Индикаторы!N31-Индикаторы!$D31)/(Индикаторы!$E31-Индикаторы!$D31),(Индикаторы!$E31-Индикаторы!N31)/(Индикаторы!$E31-Индикаторы!$D31)),0))</f>
        <v>0</v>
      </c>
      <c r="P31" s="49">
        <f>IF($E31=0,0,_xlfn.IFERROR(IF($C31=1,(Индикаторы!O31-Индикаторы!$D31)/(Индикаторы!$E31-Индикаторы!$D31),(Индикаторы!$E31-Индикаторы!O31)/(Индикаторы!$E31-Индикаторы!$D31)),0))</f>
        <v>0</v>
      </c>
    </row>
    <row r="32" spans="1:16" s="8" customFormat="1" ht="103.5" customHeight="1">
      <c r="A32" s="25" t="str">
        <f>Индикаторы!A32</f>
        <v>4.3</v>
      </c>
      <c r="B32" s="78" t="str">
        <f>Индикаторы!B32</f>
        <v>Наличие муниципального правового акта, устанавливающего стандарты (требования к качеству) предоставления муниципальных услуг юридическим и физическим лицам по перечню муниципальных услуг в отраслях социальной сферы</v>
      </c>
      <c r="C32" s="25">
        <v>1</v>
      </c>
      <c r="D32" s="25">
        <v>0.75</v>
      </c>
      <c r="E32" s="72">
        <v>1</v>
      </c>
      <c r="F32" s="25"/>
      <c r="G32" s="25"/>
      <c r="H32" s="25"/>
      <c r="I32" s="49">
        <f>IF($E32=0,0,_xlfn.IFERROR(IF($C32=1,(Индикаторы!H32-Индикаторы!$D32)/(Индикаторы!$E32-Индикаторы!$D32),(Индикаторы!$E32-Индикаторы!H32)/(Индикаторы!$E32-Индикаторы!$D32)),0))</f>
        <v>1</v>
      </c>
      <c r="J32" s="49">
        <f>IF($E32=0,0,_xlfn.IFERROR(IF($C32=1,(Индикаторы!I32-Индикаторы!$D32)/(Индикаторы!$E32-Индикаторы!$D32),(Индикаторы!$E32-Индикаторы!I32)/(Индикаторы!$E32-Индикаторы!$D32)),0))</f>
        <v>0</v>
      </c>
      <c r="K32" s="49">
        <f>IF($E32=0,0,_xlfn.IFERROR(IF($C32=1,(Индикаторы!J32-Индикаторы!$D32)/(Индикаторы!$E32-Индикаторы!$D32),(Индикаторы!$E32-Индикаторы!J32)/(Индикаторы!$E32-Индикаторы!$D32)),0))</f>
        <v>0</v>
      </c>
      <c r="L32" s="49">
        <f>IF($E32=0,0,_xlfn.IFERROR(IF($C32=1,(Индикаторы!K32-Индикаторы!$D32)/(Индикаторы!$E32-Индикаторы!$D32),(Индикаторы!$E32-Индикаторы!K32)/(Индикаторы!$E32-Индикаторы!$D32)),0))</f>
        <v>1</v>
      </c>
      <c r="M32" s="49">
        <f>IF($E32=0,0,_xlfn.IFERROR(IF($C32=1,(Индикаторы!L32-Индикаторы!$D32)/(Индикаторы!$E32-Индикаторы!$D32),(Индикаторы!$E32-Индикаторы!L32)/(Индикаторы!$E32-Индикаторы!$D32)),0))</f>
        <v>0</v>
      </c>
      <c r="N32" s="49">
        <f>IF($E32=0,0,_xlfn.IFERROR(IF($C32=1,(Индикаторы!M32-Индикаторы!$D32)/(Индикаторы!$E32-Индикаторы!$D32),(Индикаторы!$E32-Индикаторы!M32)/(Индикаторы!$E32-Индикаторы!$D32)),0))</f>
        <v>1</v>
      </c>
      <c r="O32" s="49">
        <f>IF($E32=0,0,_xlfn.IFERROR(IF($C32=1,(Индикаторы!N32-Индикаторы!$D32)/(Индикаторы!$E32-Индикаторы!$D32),(Индикаторы!$E32-Индикаторы!N32)/(Индикаторы!$E32-Индикаторы!$D32)),0))</f>
        <v>0</v>
      </c>
      <c r="P32" s="49">
        <f>IF($E32=0,0,_xlfn.IFERROR(IF($C32=1,(Индикаторы!O32-Индикаторы!$D32)/(Индикаторы!$E32-Индикаторы!$D32),(Индикаторы!$E32-Индикаторы!O32)/(Индикаторы!$E32-Индикаторы!$D32)),0))</f>
        <v>0</v>
      </c>
    </row>
    <row r="33" spans="1:16" s="8" customFormat="1" ht="138" customHeight="1">
      <c r="A33" s="25" t="str">
        <f>Индикаторы!A33</f>
        <v>4.4</v>
      </c>
      <c r="B33" s="128" t="str">
        <f>Индикаторы!B33</f>
        <v>Доля муниципальных учреждений, для ко-торых установлены количественно измери-мые финансовые санкции (штрафы, изъятия) за нарушение условий выполнения муници-пального задания</v>
      </c>
      <c r="C33" s="25">
        <v>1</v>
      </c>
      <c r="D33" s="25">
        <v>1.5</v>
      </c>
      <c r="E33" s="72">
        <v>1</v>
      </c>
      <c r="F33" s="25"/>
      <c r="G33" s="25"/>
      <c r="H33" s="25"/>
      <c r="I33" s="49">
        <f>IF($E33=0,0,_xlfn.IFERROR(IF($C33=1,(Индикаторы!H33-Индикаторы!$D33)/(Индикаторы!$E33-Индикаторы!$D33),(Индикаторы!$E33-Индикаторы!H33)/(Индикаторы!$E33-Индикаторы!$D33)),0))</f>
        <v>0</v>
      </c>
      <c r="J33" s="49">
        <f>IF($E33=0,0,_xlfn.IFERROR(IF($C33=1,(Индикаторы!I33-Индикаторы!$D33)/(Индикаторы!$E33-Индикаторы!$D33),(Индикаторы!$E33-Индикаторы!I33)/(Индикаторы!$E33-Индикаторы!$D33)),0))</f>
        <v>0</v>
      </c>
      <c r="K33" s="49">
        <f>IF($E33=0,0,_xlfn.IFERROR(IF($C33=1,(Индикаторы!J33-Индикаторы!$D33)/(Индикаторы!$E33-Индикаторы!$D33),(Индикаторы!$E33-Индикаторы!J33)/(Индикаторы!$E33-Индикаторы!$D33)),0))</f>
        <v>0</v>
      </c>
      <c r="L33" s="49">
        <f>IF($E33=0,0,_xlfn.IFERROR(IF($C33=1,(Индикаторы!K33-Индикаторы!$D33)/(Индикаторы!$E33-Индикаторы!$D33),(Индикаторы!$E33-Индикаторы!K33)/(Индикаторы!$E33-Индикаторы!$D33)),0))</f>
        <v>0</v>
      </c>
      <c r="M33" s="49">
        <f>IF($E33=0,0,_xlfn.IFERROR(IF($C33=1,(Индикаторы!L33-Индикаторы!$D33)/(Индикаторы!$E33-Индикаторы!$D33),(Индикаторы!$E33-Индикаторы!L33)/(Индикаторы!$E33-Индикаторы!$D33)),0))</f>
        <v>0</v>
      </c>
      <c r="N33" s="49">
        <f>IF($E33=0,0,_xlfn.IFERROR(IF($C33=1,(Индикаторы!M33-Индикаторы!$D33)/(Индикаторы!$E33-Индикаторы!$D33),(Индикаторы!$E33-Индикаторы!M33)/(Индикаторы!$E33-Индикаторы!$D33)),0))</f>
        <v>0</v>
      </c>
      <c r="O33" s="49">
        <f>IF($E33=0,0,_xlfn.IFERROR(IF($C33=1,(Индикаторы!N33-Индикаторы!$D33)/(Индикаторы!$E33-Индикаторы!$D33),(Индикаторы!$E33-Индикаторы!N33)/(Индикаторы!$E33-Индикаторы!$D33)),0))</f>
        <v>0</v>
      </c>
      <c r="P33" s="49">
        <f>IF($E33=0,0,_xlfn.IFERROR(IF($C33=1,(Индикаторы!O33-Индикаторы!$D33)/(Индикаторы!$E33-Индикаторы!$D33),(Индикаторы!$E33-Индикаторы!O33)/(Индикаторы!$E33-Индикаторы!$D33)),0))</f>
        <v>0</v>
      </c>
    </row>
    <row r="34" spans="1:16" s="8" customFormat="1" ht="112.5">
      <c r="A34" s="25" t="str">
        <f>Индикаторы!A34</f>
        <v>4.5</v>
      </c>
      <c r="B34" s="78" t="str">
        <f>Индикаторы!B34</f>
        <v>Удельный вес расходов местного бюджета на оказание муниципальных услуг (работ), оказываемых (выполняемых) в соответствии с муниципальным заданием, в общем объеме расходов (за исключением расходов, осуществляемых за счет субвенций)</v>
      </c>
      <c r="C34" s="25">
        <v>1</v>
      </c>
      <c r="D34" s="25">
        <v>2</v>
      </c>
      <c r="E34" s="72">
        <v>1</v>
      </c>
      <c r="F34" s="25"/>
      <c r="G34" s="25"/>
      <c r="H34" s="25"/>
      <c r="I34" s="49">
        <f>IF($E34=0,0,_xlfn.IFERROR(IF($C34=1,(Индикаторы!H34-Индикаторы!$D34)/(Индикаторы!$E34-Индикаторы!$D34),(Индикаторы!$E34-Индикаторы!H34)/(Индикаторы!$E34-Индикаторы!$D34)),0))</f>
        <v>0</v>
      </c>
      <c r="J34" s="49">
        <f>IF($E34=0,0,_xlfn.IFERROR(IF($C34=1,(Индикаторы!I34-Индикаторы!$D34)/(Индикаторы!$E34-Индикаторы!$D34),(Индикаторы!$E34-Индикаторы!I34)/(Индикаторы!$E34-Индикаторы!$D34)),0))</f>
        <v>0</v>
      </c>
      <c r="K34" s="49">
        <f>IF($E34=0,0,_xlfn.IFERROR(IF($C34=1,(Индикаторы!J34-Индикаторы!$D34)/(Индикаторы!$E34-Индикаторы!$D34),(Индикаторы!$E34-Индикаторы!J34)/(Индикаторы!$E34-Индикаторы!$D34)),0))</f>
        <v>0</v>
      </c>
      <c r="L34" s="49">
        <f>IF($E34=0,0,_xlfn.IFERROR(IF($C34=1,(Индикаторы!K34-Индикаторы!$D34)/(Индикаторы!$E34-Индикаторы!$D34),(Индикаторы!$E34-Индикаторы!K34)/(Индикаторы!$E34-Индикаторы!$D34)),0))</f>
        <v>0</v>
      </c>
      <c r="M34" s="49">
        <f>IF($E34=0,0,_xlfn.IFERROR(IF($C34=1,(Индикаторы!L34-Индикаторы!$D34)/(Индикаторы!$E34-Индикаторы!$D34),(Индикаторы!$E34-Индикаторы!L34)/(Индикаторы!$E34-Индикаторы!$D34)),0))</f>
        <v>0</v>
      </c>
      <c r="N34" s="49">
        <f>IF($E34=0,0,_xlfn.IFERROR(IF($C34=1,(Индикаторы!M34-Индикаторы!$D34)/(Индикаторы!$E34-Индикаторы!$D34),(Индикаторы!$E34-Индикаторы!M34)/(Индикаторы!$E34-Индикаторы!$D34)),0))</f>
        <v>1</v>
      </c>
      <c r="O34" s="49">
        <f>IF($E34=0,0,_xlfn.IFERROR(IF($C34=1,(Индикаторы!N34-Индикаторы!$D34)/(Индикаторы!$E34-Индикаторы!$D34),(Индикаторы!$E34-Индикаторы!N34)/(Индикаторы!$E34-Индикаторы!$D34)),0))</f>
        <v>0</v>
      </c>
      <c r="P34" s="49">
        <f>IF($E34=0,0,_xlfn.IFERROR(IF($C34=1,(Индикаторы!O34-Индикаторы!$D34)/(Индикаторы!$E34-Индикаторы!$D34),(Индикаторы!$E34-Индикаторы!O34)/(Индикаторы!$E34-Индикаторы!$D34)),0))</f>
        <v>0</v>
      </c>
    </row>
    <row r="35" spans="1:16" s="8" customFormat="1" ht="56.25">
      <c r="A35" s="25" t="str">
        <f>Индикаторы!A35</f>
        <v>4.6</v>
      </c>
      <c r="B35" s="78" t="str">
        <f>Индикаторы!B35</f>
        <v>Изучение мнения населения о качестве оказания муниципальных услуг в соответствии с установленным порядком</v>
      </c>
      <c r="C35" s="25">
        <v>1</v>
      </c>
      <c r="D35" s="25">
        <v>1.25</v>
      </c>
      <c r="E35" s="72">
        <v>1</v>
      </c>
      <c r="F35" s="25"/>
      <c r="G35" s="25"/>
      <c r="H35" s="25"/>
      <c r="I35" s="49">
        <f>IF($E35=0,0,_xlfn.IFERROR(IF($C35=1,(Индикаторы!H35-Индикаторы!$D35)/(Индикаторы!$E35-Индикаторы!$D35),(Индикаторы!$E35-Индикаторы!H35)/(Индикаторы!$E35-Индикаторы!$D35)),0))</f>
        <v>0</v>
      </c>
      <c r="J35" s="49">
        <f>IF($E35=0,0,_xlfn.IFERROR(IF($C35=1,(Индикаторы!I35-Индикаторы!$D35)/(Индикаторы!$E35-Индикаторы!$D35),(Индикаторы!$E35-Индикаторы!I35)/(Индикаторы!$E35-Индикаторы!$D35)),0))</f>
        <v>0</v>
      </c>
      <c r="K35" s="49">
        <f>IF($E35=0,0,_xlfn.IFERROR(IF($C35=1,(Индикаторы!J35-Индикаторы!$D35)/(Индикаторы!$E35-Индикаторы!$D35),(Индикаторы!$E35-Индикаторы!J35)/(Индикаторы!$E35-Индикаторы!$D35)),0))</f>
        <v>0</v>
      </c>
      <c r="L35" s="49">
        <f>IF($E35=0,0,_xlfn.IFERROR(IF($C35=1,(Индикаторы!K35-Индикаторы!$D35)/(Индикаторы!$E35-Индикаторы!$D35),(Индикаторы!$E35-Индикаторы!K35)/(Индикаторы!$E35-Индикаторы!$D35)),0))</f>
        <v>0</v>
      </c>
      <c r="M35" s="49">
        <f>IF($E35=0,0,_xlfn.IFERROR(IF($C35=1,(Индикаторы!L35-Индикаторы!$D35)/(Индикаторы!$E35-Индикаторы!$D35),(Индикаторы!$E35-Индикаторы!L35)/(Индикаторы!$E35-Индикаторы!$D35)),0))</f>
        <v>0</v>
      </c>
      <c r="N35" s="49">
        <f>IF($E35=0,0,_xlfn.IFERROR(IF($C35=1,(Индикаторы!M35-Индикаторы!$D35)/(Индикаторы!$E35-Индикаторы!$D35),(Индикаторы!$E35-Индикаторы!M35)/(Индикаторы!$E35-Индикаторы!$D35)),0))</f>
        <v>0</v>
      </c>
      <c r="O35" s="49">
        <f>IF($E35=0,0,_xlfn.IFERROR(IF($C35=1,(Индикаторы!N35-Индикаторы!$D35)/(Индикаторы!$E35-Индикаторы!$D35),(Индикаторы!$E35-Индикаторы!N35)/(Индикаторы!$E35-Индикаторы!$D35)),0))</f>
        <v>0</v>
      </c>
      <c r="P35" s="49">
        <f>IF($E35=0,0,_xlfn.IFERROR(IF($C35=1,(Индикаторы!O35-Индикаторы!$D35)/(Индикаторы!$E35-Индикаторы!$D35),(Индикаторы!$E35-Индикаторы!O35)/(Индикаторы!$E35-Индикаторы!$D35)),0))</f>
        <v>0</v>
      </c>
    </row>
    <row r="36" spans="1:16" s="8" customFormat="1" ht="37.5">
      <c r="A36" s="25" t="str">
        <f>Индикаторы!A36</f>
        <v>4.7</v>
      </c>
      <c r="B36" s="81" t="str">
        <f>Индикаторы!B36</f>
        <v>Доля бюджетных и автономных учреждений из общего количества муниципальных учреждений</v>
      </c>
      <c r="C36" s="25">
        <v>1</v>
      </c>
      <c r="D36" s="25">
        <v>1.5</v>
      </c>
      <c r="E36" s="72">
        <v>1</v>
      </c>
      <c r="F36" s="25"/>
      <c r="G36" s="25"/>
      <c r="H36" s="25"/>
      <c r="I36" s="49">
        <f>IF($E36=0,0,_xlfn.IFERROR(IF($C36=1,(Индикаторы!H36-Индикаторы!$D36)/(Индикаторы!$E36-Индикаторы!$D36),(Индикаторы!$E36-Индикаторы!H36)/(Индикаторы!$E36-Индикаторы!$D36)),))</f>
        <v>0</v>
      </c>
      <c r="J36" s="49">
        <f>IF($E36=0,0,_xlfn.IFERROR(IF($C36=1,(Индикаторы!I36-Индикаторы!$D36)/(Индикаторы!$E36-Индикаторы!$D36),(Индикаторы!$E36-Индикаторы!I36)/(Индикаторы!$E36-Индикаторы!$D36)),))</f>
        <v>0</v>
      </c>
      <c r="K36" s="49">
        <f>IF($E36=0,0,_xlfn.IFERROR(IF($C36=1,(Индикаторы!J36-Индикаторы!$D36)/(Индикаторы!$E36-Индикаторы!$D36),(Индикаторы!$E36-Индикаторы!J36)/(Индикаторы!$E36-Индикаторы!$D36)),))</f>
        <v>0</v>
      </c>
      <c r="L36" s="49">
        <f>IF($E36=0,0,_xlfn.IFERROR(IF($C36=1,(Индикаторы!K36-Индикаторы!$D36)/(Индикаторы!$E36-Индикаторы!$D36),(Индикаторы!$E36-Индикаторы!K36)/(Индикаторы!$E36-Индикаторы!$D36)),))</f>
        <v>0</v>
      </c>
      <c r="M36" s="49">
        <f>IF($E36=0,0,_xlfn.IFERROR(IF($C36=1,(Индикаторы!L36-Индикаторы!$D36)/(Индикаторы!$E36-Индикаторы!$D36),(Индикаторы!$E36-Индикаторы!L36)/(Индикаторы!$E36-Индикаторы!$D36)),))</f>
        <v>0</v>
      </c>
      <c r="N36" s="49">
        <f>IF($E36=0,0,_xlfn.IFERROR(IF($C36=1,(Индикаторы!M36-Индикаторы!$D36)/(Индикаторы!$E36-Индикаторы!$D36),(Индикаторы!$E36-Индикаторы!M36)/(Индикаторы!$E36-Индикаторы!$D36)),))</f>
        <v>1</v>
      </c>
      <c r="O36" s="49">
        <f>IF($E36=0,0,_xlfn.IFERROR(IF($C36=1,(Индикаторы!N36-Индикаторы!$D36)/(Индикаторы!$E36-Индикаторы!$D36),(Индикаторы!$E36-Индикаторы!N36)/(Индикаторы!$E36-Индикаторы!$D36)),))</f>
        <v>0</v>
      </c>
      <c r="P36" s="49">
        <f>IF($E36=0,0,_xlfn.IFERROR(IF($C36=1,(Индикаторы!O36-Индикаторы!$D36)/(Индикаторы!$E36-Индикаторы!$D36),(Индикаторы!$E36-Индикаторы!O36)/(Индикаторы!$E36-Индикаторы!$D36)),))</f>
        <v>0</v>
      </c>
    </row>
    <row r="37" spans="1:16" s="58" customFormat="1" ht="18.75">
      <c r="A37" s="52"/>
      <c r="B37" s="79" t="s">
        <v>17</v>
      </c>
      <c r="C37" s="54"/>
      <c r="D37" s="73">
        <v>1</v>
      </c>
      <c r="E37" s="54"/>
      <c r="F37" s="55"/>
      <c r="G37" s="56"/>
      <c r="H37" s="56"/>
      <c r="I37" s="105">
        <f aca="true" t="shared" si="5" ref="I37:O37">SUMPRODUCT($E$38:$E$44,$D$38:$D$44,I38:I44)</f>
        <v>7.25</v>
      </c>
      <c r="J37" s="105">
        <f t="shared" si="5"/>
        <v>7.25</v>
      </c>
      <c r="K37" s="105">
        <f t="shared" si="5"/>
        <v>1.5</v>
      </c>
      <c r="L37" s="105">
        <f t="shared" si="5"/>
        <v>3</v>
      </c>
      <c r="M37" s="105">
        <f t="shared" si="5"/>
        <v>7.25</v>
      </c>
      <c r="N37" s="105">
        <f t="shared" si="5"/>
        <v>7.25</v>
      </c>
      <c r="O37" s="105">
        <f t="shared" si="5"/>
        <v>1.5</v>
      </c>
      <c r="P37" s="105">
        <f>SUMPRODUCT($E$38:$E$44,$D$38:$D$44,P38:P44)</f>
        <v>7.25</v>
      </c>
    </row>
    <row r="38" spans="1:16" s="8" customFormat="1" ht="93.75">
      <c r="A38" s="25" t="str">
        <f>Индикаторы!A38</f>
        <v>5.1</v>
      </c>
      <c r="B38" s="78" t="str">
        <f>Индикаторы!B38</f>
        <v>Размещение на официальном сайте решения о бюджете, отчета об исполнении бюджета, отчета о результатах деятельности финансового органа муниципального образования за отчетный финансовый год</v>
      </c>
      <c r="C38" s="25">
        <v>1</v>
      </c>
      <c r="D38" s="25">
        <v>1.75</v>
      </c>
      <c r="E38" s="72">
        <v>1</v>
      </c>
      <c r="F38" s="25"/>
      <c r="G38" s="25"/>
      <c r="H38" s="25"/>
      <c r="I38" s="49">
        <f>IF($E38=0,0,_xlfn.IFERROR(IF($C38=1,(Индикаторы!H38-Индикаторы!$D38)/(Индикаторы!$E38-Индикаторы!$D38),(Индикаторы!$E38-Индикаторы!H38)/(Индикаторы!$E38-Индикаторы!$D38)),))</f>
        <v>0</v>
      </c>
      <c r="J38" s="49">
        <f>IF($E38=0,0,_xlfn.IFERROR(IF($C38=1,(Индикаторы!I38-Индикаторы!$D38)/(Индикаторы!$E38-Индикаторы!$D38),(Индикаторы!$E38-Индикаторы!I38)/(Индикаторы!$E38-Индикаторы!$D38)),))</f>
        <v>0</v>
      </c>
      <c r="K38" s="49">
        <f>IF($E38=0,0,_xlfn.IFERROR(IF($C38=1,(Индикаторы!J38-Индикаторы!$D38)/(Индикаторы!$E38-Индикаторы!$D38),(Индикаторы!$E38-Индикаторы!J38)/(Индикаторы!$E38-Индикаторы!$D38)),))</f>
        <v>0</v>
      </c>
      <c r="L38" s="49">
        <f>IF($E38=0,0,_xlfn.IFERROR(IF($C38=1,(Индикаторы!K38-Индикаторы!$D38)/(Индикаторы!$E38-Индикаторы!$D38),(Индикаторы!$E38-Индикаторы!K38)/(Индикаторы!$E38-Индикаторы!$D38)),))</f>
        <v>0</v>
      </c>
      <c r="M38" s="49">
        <f>IF($E38=0,0,_xlfn.IFERROR(IF($C38=1,(Индикаторы!L38-Индикаторы!$D38)/(Индикаторы!$E38-Индикаторы!$D38),(Индикаторы!$E38-Индикаторы!L38)/(Индикаторы!$E38-Индикаторы!$D38)),))</f>
        <v>0</v>
      </c>
      <c r="N38" s="49">
        <f>IF($E38=0,0,_xlfn.IFERROR(IF($C38=1,(Индикаторы!M38-Индикаторы!$D38)/(Индикаторы!$E38-Индикаторы!$D38),(Индикаторы!$E38-Индикаторы!M38)/(Индикаторы!$E38-Индикаторы!$D38)),))</f>
        <v>0</v>
      </c>
      <c r="O38" s="49">
        <f>IF($E38=0,0,_xlfn.IFERROR(IF($C38=1,(Индикаторы!N38-Индикаторы!$D38)/(Индикаторы!$E38-Индикаторы!$D38),(Индикаторы!$E38-Индикаторы!N38)/(Индикаторы!$E38-Индикаторы!$D38)),))</f>
        <v>0</v>
      </c>
      <c r="P38" s="49">
        <f>IF($E38=0,0,_xlfn.IFERROR(IF($C38=1,(Индикаторы!O38-Индикаторы!$D38)/(Индикаторы!$E38-Индикаторы!$D38),(Индикаторы!$E38-Индикаторы!O38)/(Индикаторы!$E38-Индикаторы!$D38)),))</f>
        <v>0</v>
      </c>
    </row>
    <row r="39" spans="1:16" s="8" customFormat="1" ht="65.25" customHeight="1">
      <c r="A39" s="25" t="str">
        <f>Индикаторы!A39</f>
        <v>5.2</v>
      </c>
      <c r="B39" s="78" t="str">
        <f>Индикаторы!B39</f>
        <v>Ежемесячное размещение на официальном сайте органов местного самоуправления отчетов об исполнении бюджета муниципального образования</v>
      </c>
      <c r="C39" s="25">
        <v>1</v>
      </c>
      <c r="D39" s="25">
        <v>1.75</v>
      </c>
      <c r="E39" s="72">
        <v>1</v>
      </c>
      <c r="F39" s="25"/>
      <c r="G39" s="25"/>
      <c r="H39" s="25"/>
      <c r="I39" s="49">
        <f>IF($E39=0,0,_xlfn.IFERROR(IF($C39=1,(Индикаторы!H39-Индикаторы!$D39)/(Индикаторы!$E39-Индикаторы!$D39),(Индикаторы!$E39-Индикаторы!H39)/(Индикаторы!$E39-Индикаторы!$D39)),0))</f>
        <v>1</v>
      </c>
      <c r="J39" s="49">
        <f>IF($E39=0,0,_xlfn.IFERROR(IF($C39=1,(Индикаторы!I39-Индикаторы!$D39)/(Индикаторы!$E39-Индикаторы!$D39),(Индикаторы!$E39-Индикаторы!I39)/(Индикаторы!$E39-Индикаторы!$D39)),0))</f>
        <v>1</v>
      </c>
      <c r="K39" s="49">
        <f>IF($E39=0,0,_xlfn.IFERROR(IF($C39=1,(Индикаторы!J39-Индикаторы!$D39)/(Индикаторы!$E39-Индикаторы!$D39),(Индикаторы!$E39-Индикаторы!J39)/(Индикаторы!$E39-Индикаторы!$D39)),0))</f>
        <v>0</v>
      </c>
      <c r="L39" s="49">
        <f>IF($E39=0,0,_xlfn.IFERROR(IF($C39=1,(Индикаторы!K39-Индикаторы!$D39)/(Индикаторы!$E39-Индикаторы!$D39),(Индикаторы!$E39-Индикаторы!K39)/(Индикаторы!$E39-Индикаторы!$D39)),0))</f>
        <v>0</v>
      </c>
      <c r="M39" s="49">
        <f>IF($E39=0,0,_xlfn.IFERROR(IF($C39=1,(Индикаторы!L39-Индикаторы!$D39)/(Индикаторы!$E39-Индикаторы!$D39),(Индикаторы!$E39-Индикаторы!L39)/(Индикаторы!$E39-Индикаторы!$D39)),0))</f>
        <v>1</v>
      </c>
      <c r="N39" s="49">
        <f>IF($E39=0,0,_xlfn.IFERROR(IF($C39=1,(Индикаторы!M39-Индикаторы!$D39)/(Индикаторы!$E39-Индикаторы!$D39),(Индикаторы!$E39-Индикаторы!M39)/(Индикаторы!$E39-Индикаторы!$D39)),0))</f>
        <v>1</v>
      </c>
      <c r="O39" s="49">
        <f>IF($E39=0,0,_xlfn.IFERROR(IF($C39=1,(Индикаторы!N39-Индикаторы!$D39)/(Индикаторы!$E39-Индикаторы!$D39),(Индикаторы!$E39-Индикаторы!N39)/(Индикаторы!$E39-Индикаторы!$D39)),0))</f>
        <v>0</v>
      </c>
      <c r="P39" s="49">
        <f>IF($E39=0,0,_xlfn.IFERROR(IF($C39=1,(Индикаторы!O39-Индикаторы!$D39)/(Индикаторы!$E39-Индикаторы!$D39),(Индикаторы!$E39-Индикаторы!O39)/(Индикаторы!$E39-Индикаторы!$D39)),0))</f>
        <v>1</v>
      </c>
    </row>
    <row r="40" spans="1:16" s="8" customFormat="1" ht="56.25">
      <c r="A40" s="25" t="str">
        <f>Индикаторы!A40</f>
        <v>5.3</v>
      </c>
      <c r="B40" s="78" t="str">
        <f>Индикаторы!B40</f>
        <v>Наличие на официальном сайте органов местного самоуправления информационного ресурса (брошюры) "Бюджет для граждан"</v>
      </c>
      <c r="C40" s="25">
        <v>1</v>
      </c>
      <c r="D40" s="25">
        <v>1.5</v>
      </c>
      <c r="E40" s="72">
        <v>1</v>
      </c>
      <c r="F40" s="25"/>
      <c r="G40" s="25"/>
      <c r="H40" s="25"/>
      <c r="I40" s="49">
        <f>IF($E40=0,0,_xlfn.IFERROR(IF($C40=1,(Индикаторы!H40-Индикаторы!$D40)/(Индикаторы!$E40-Индикаторы!$D40),(Индикаторы!$E40-Индикаторы!H40)/(Индикаторы!$E40-Индикаторы!$D40)),))</f>
        <v>1</v>
      </c>
      <c r="J40" s="49">
        <f>IF($E40=0,0,_xlfn.IFERROR(IF($C40=1,(Индикаторы!I40-Индикаторы!$D40)/(Индикаторы!$E40-Индикаторы!$D40),(Индикаторы!$E40-Индикаторы!I40)/(Индикаторы!$E40-Индикаторы!$D40)),))</f>
        <v>1</v>
      </c>
      <c r="K40" s="49">
        <f>IF($E40=0,0,_xlfn.IFERROR(IF($C40=1,(Индикаторы!J40-Индикаторы!$D40)/(Индикаторы!$E40-Индикаторы!$D40),(Индикаторы!$E40-Индикаторы!J40)/(Индикаторы!$E40-Индикаторы!$D40)),))</f>
        <v>0</v>
      </c>
      <c r="L40" s="49">
        <f>IF($E40=0,0,_xlfn.IFERROR(IF($C40=1,(Индикаторы!K40-Индикаторы!$D40)/(Индикаторы!$E40-Индикаторы!$D40),(Индикаторы!$E40-Индикаторы!K40)/(Индикаторы!$E40-Индикаторы!$D40)),))</f>
        <v>1</v>
      </c>
      <c r="M40" s="49">
        <f>IF($E40=0,0,_xlfn.IFERROR(IF($C40=1,(Индикаторы!L40-Индикаторы!$D40)/(Индикаторы!$E40-Индикаторы!$D40),(Индикаторы!$E40-Индикаторы!L40)/(Индикаторы!$E40-Индикаторы!$D40)),))</f>
        <v>1</v>
      </c>
      <c r="N40" s="49">
        <f>IF($E40=0,0,_xlfn.IFERROR(IF($C40=1,(Индикаторы!M40-Индикаторы!$D40)/(Индикаторы!$E40-Индикаторы!$D40),(Индикаторы!$E40-Индикаторы!M40)/(Индикаторы!$E40-Индикаторы!$D40)),))</f>
        <v>1</v>
      </c>
      <c r="O40" s="49">
        <f>IF($E40=0,0,_xlfn.IFERROR(IF($C40=1,(Индикаторы!N40-Индикаторы!$D40)/(Индикаторы!$E40-Индикаторы!$D40),(Индикаторы!$E40-Индикаторы!N40)/(Индикаторы!$E40-Индикаторы!$D40)),))</f>
        <v>1</v>
      </c>
      <c r="P40" s="49">
        <f>IF($E40=0,0,_xlfn.IFERROR(IF($C40=1,(Индикаторы!O40-Индикаторы!$D40)/(Индикаторы!$E40-Индикаторы!$D40),(Индикаторы!$E40-Индикаторы!O40)/(Индикаторы!$E40-Индикаторы!$D40)),))</f>
        <v>1</v>
      </c>
    </row>
    <row r="41" spans="1:16" s="8" customFormat="1" ht="93.75">
      <c r="A41" s="25" t="str">
        <f>Индикаторы!A41</f>
        <v>5.4</v>
      </c>
      <c r="B41" s="78" t="str">
        <f>Индикаторы!B41</f>
        <v>Размещение на официальном сайте проектов правовых актов финансового органа муниципального образования в соответствии с порядком проведения независимой антикоррупционной экспертизы</v>
      </c>
      <c r="C41" s="25">
        <v>1</v>
      </c>
      <c r="D41" s="25">
        <v>1.5</v>
      </c>
      <c r="E41" s="72">
        <v>1</v>
      </c>
      <c r="F41" s="25"/>
      <c r="G41" s="25"/>
      <c r="H41" s="25"/>
      <c r="I41" s="49">
        <f>IF($E41=0,0,_xlfn.IFERROR(IF($C41=1,(Индикаторы!H41-Индикаторы!$D41)/(Индикаторы!$E41-Индикаторы!$D41),(Индикаторы!$E41-Индикаторы!H41)/(Индикаторы!$E41-Индикаторы!$D41)),0))</f>
        <v>1</v>
      </c>
      <c r="J41" s="49">
        <f>IF($E41=0,0,_xlfn.IFERROR(IF($C41=1,(Индикаторы!I41-Индикаторы!$D41)/(Индикаторы!$E41-Индикаторы!$D41),(Индикаторы!$E41-Индикаторы!I41)/(Индикаторы!$E41-Индикаторы!$D41)),0))</f>
        <v>1</v>
      </c>
      <c r="K41" s="49">
        <f>IF($E41=0,0,_xlfn.IFERROR(IF($C41=1,(Индикаторы!J41-Индикаторы!$D41)/(Индикаторы!$E41-Индикаторы!$D41),(Индикаторы!$E41-Индикаторы!J41)/(Индикаторы!$E41-Индикаторы!$D41)),0))</f>
        <v>0</v>
      </c>
      <c r="L41" s="49">
        <f>IF($E41=0,0,_xlfn.IFERROR(IF($C41=1,(Индикаторы!K41-Индикаторы!$D41)/(Индикаторы!$E41-Индикаторы!$D41),(Индикаторы!$E41-Индикаторы!K41)/(Индикаторы!$E41-Индикаторы!$D41)),0))</f>
        <v>1</v>
      </c>
      <c r="M41" s="49">
        <f>IF($E41=0,0,_xlfn.IFERROR(IF($C41=1,(Индикаторы!L41-Индикаторы!$D41)/(Индикаторы!$E41-Индикаторы!$D41),(Индикаторы!$E41-Индикаторы!L41)/(Индикаторы!$E41-Индикаторы!$D41)),0))</f>
        <v>1</v>
      </c>
      <c r="N41" s="49">
        <f>IF($E41=0,0,_xlfn.IFERROR(IF($C41=1,(Индикаторы!M41-Индикаторы!$D41)/(Индикаторы!$E41-Индикаторы!$D41),(Индикаторы!$E41-Индикаторы!M41)/(Индикаторы!$E41-Индикаторы!$D41)),0))</f>
        <v>1</v>
      </c>
      <c r="O41" s="49">
        <f>IF($E41=0,0,_xlfn.IFERROR(IF($C41=1,(Индикаторы!N41-Индикаторы!$D41)/(Индикаторы!$E41-Индикаторы!$D41),(Индикаторы!$E41-Индикаторы!N41)/(Индикаторы!$E41-Индикаторы!$D41)),0))</f>
        <v>0</v>
      </c>
      <c r="P41" s="49">
        <f>IF($E41=0,0,_xlfn.IFERROR(IF($C41=1,(Индикаторы!O41-Индикаторы!$D41)/(Индикаторы!$E41-Индикаторы!$D41),(Индикаторы!$E41-Индикаторы!O41)/(Индикаторы!$E41-Индикаторы!$D41)),0))</f>
        <v>1</v>
      </c>
    </row>
    <row r="42" spans="1:16" s="8" customFormat="1" ht="93.75">
      <c r="A42" s="25" t="str">
        <f>Индикаторы!A42</f>
        <v>5.5</v>
      </c>
      <c r="B42" s="78" t="str">
        <f>Индикаторы!B42</f>
        <v>Проведение публичных слушаний по проекту бюджета муниципального образования и проекту отчета об исполнении бюджета муниципального образования в соответствии с установленным порядком</v>
      </c>
      <c r="C42" s="25">
        <v>1</v>
      </c>
      <c r="D42" s="25">
        <v>1.5</v>
      </c>
      <c r="E42" s="72">
        <v>1</v>
      </c>
      <c r="F42" s="25"/>
      <c r="G42" s="25"/>
      <c r="H42" s="25"/>
      <c r="I42" s="49">
        <f>IF($E42=0,0,_xlfn.IFERROR(IF($C42=1,(Индикаторы!H42-Индикаторы!$D42)/(Индикаторы!$E42-Индикаторы!$D42),(Индикаторы!$E42-Индикаторы!H42)/(Индикаторы!$E42-Индикаторы!$D42)),))</f>
        <v>1</v>
      </c>
      <c r="J42" s="49">
        <f>IF($E42=0,0,_xlfn.IFERROR(IF($C42=1,(Индикаторы!I42-Индикаторы!$D42)/(Индикаторы!$E42-Индикаторы!$D42),(Индикаторы!$E42-Индикаторы!I42)/(Индикаторы!$E42-Индикаторы!$D42)),))</f>
        <v>1</v>
      </c>
      <c r="K42" s="49">
        <f>IF($E42=0,0,_xlfn.IFERROR(IF($C42=1,(Индикаторы!J42-Индикаторы!$D42)/(Индикаторы!$E42-Индикаторы!$D42),(Индикаторы!$E42-Индикаторы!J42)/(Индикаторы!$E42-Индикаторы!$D42)),))</f>
        <v>1</v>
      </c>
      <c r="L42" s="49">
        <f>IF($E42=0,0,_xlfn.IFERROR(IF($C42=1,(Индикаторы!K42-Индикаторы!$D42)/(Индикаторы!$E42-Индикаторы!$D42),(Индикаторы!$E42-Индикаторы!K42)/(Индикаторы!$E42-Индикаторы!$D42)),))</f>
        <v>0</v>
      </c>
      <c r="M42" s="49">
        <f>IF($E42=0,0,_xlfn.IFERROR(IF($C42=1,(Индикаторы!L42-Индикаторы!$D42)/(Индикаторы!$E42-Индикаторы!$D42),(Индикаторы!$E42-Индикаторы!L42)/(Индикаторы!$E42-Индикаторы!$D42)),))</f>
        <v>1</v>
      </c>
      <c r="N42" s="49">
        <f>IF($E42=0,0,_xlfn.IFERROR(IF($C42=1,(Индикаторы!M42-Индикаторы!$D42)/(Индикаторы!$E42-Индикаторы!$D42),(Индикаторы!$E42-Индикаторы!M42)/(Индикаторы!$E42-Индикаторы!$D42)),))</f>
        <v>1</v>
      </c>
      <c r="O42" s="49">
        <f>IF($E42=0,0,_xlfn.IFERROR(IF($C42=1,(Индикаторы!N42-Индикаторы!$D42)/(Индикаторы!$E42-Индикаторы!$D42),(Индикаторы!$E42-Индикаторы!N42)/(Индикаторы!$E42-Индикаторы!$D42)),))</f>
        <v>0</v>
      </c>
      <c r="P42" s="49">
        <f>IF($E42=0,0,_xlfn.IFERROR(IF($C42=1,(Индикаторы!O42-Индикаторы!$D42)/(Индикаторы!$E42-Индикаторы!$D42),(Индикаторы!$E42-Индикаторы!O42)/(Индикаторы!$E42-Индикаторы!$D42)),))</f>
        <v>1</v>
      </c>
    </row>
    <row r="43" spans="1:16" s="8" customFormat="1" ht="155.25" customHeight="1">
      <c r="A43" s="25" t="str">
        <f>Индикаторы!A43</f>
        <v>5.6</v>
      </c>
      <c r="B43" s="78" t="str">
        <f>Индикаторы!B43</f>
        <v>Размещение на официальном сайте органов местного самоуправления информации о целевых программах (долгосрочных и ведомственных) муниципального образования и фактических результатах их реализации, а также о соответствии целей и задач этих программ стратегии либо программе социально-экономического развития муниципального образования</v>
      </c>
      <c r="C43" s="25">
        <v>1</v>
      </c>
      <c r="D43" s="25">
        <v>1</v>
      </c>
      <c r="E43" s="72">
        <v>1</v>
      </c>
      <c r="F43" s="25"/>
      <c r="G43" s="25"/>
      <c r="H43" s="25"/>
      <c r="I43" s="49">
        <f>IF($E43=0,0,_xlfn.IFERROR(IF($C43=1,(Индикаторы!H43-Индикаторы!$D43)/(Индикаторы!$E43-Индикаторы!$D43),(Индикаторы!$E43-Индикаторы!H43)/(Индикаторы!$E43-Индикаторы!$D43)),0))</f>
        <v>1</v>
      </c>
      <c r="J43" s="49">
        <f>IF($E43=0,0,_xlfn.IFERROR(IF($C43=1,(Индикаторы!I43-Индикаторы!$D43)/(Индикаторы!$E43-Индикаторы!$D43),(Индикаторы!$E43-Индикаторы!I43)/(Индикаторы!$E43-Индикаторы!$D43)),0))</f>
        <v>1</v>
      </c>
      <c r="K43" s="49">
        <f>IF($E43=0,0,_xlfn.IFERROR(IF($C43=1,(Индикаторы!J43-Индикаторы!$D43)/(Индикаторы!$E43-Индикаторы!$D43),(Индикаторы!$E43-Индикаторы!J43)/(Индикаторы!$E43-Индикаторы!$D43)),0))</f>
        <v>0</v>
      </c>
      <c r="L43" s="49">
        <f>IF($E43=0,0,_xlfn.IFERROR(IF($C43=1,(Индикаторы!K43-Индикаторы!$D43)/(Индикаторы!$E43-Индикаторы!$D43),(Индикаторы!$E43-Индикаторы!K43)/(Индикаторы!$E43-Индикаторы!$D43)),0))</f>
        <v>0</v>
      </c>
      <c r="M43" s="49">
        <f>IF($E43=0,0,_xlfn.IFERROR(IF($C43=1,(Индикаторы!L43-Индикаторы!$D43)/(Индикаторы!$E43-Индикаторы!$D43),(Индикаторы!$E43-Индикаторы!L43)/(Индикаторы!$E43-Индикаторы!$D43)),0))</f>
        <v>1</v>
      </c>
      <c r="N43" s="49">
        <f>IF($E43=0,0,_xlfn.IFERROR(IF($C43=1,(Индикаторы!M43-Индикаторы!$D43)/(Индикаторы!$E43-Индикаторы!$D43),(Индикаторы!$E43-Индикаторы!M43)/(Индикаторы!$E43-Индикаторы!$D43)),0))</f>
        <v>1</v>
      </c>
      <c r="O43" s="49">
        <f>IF($E43=0,0,_xlfn.IFERROR(IF($C43=1,(Индикаторы!N43-Индикаторы!$D43)/(Индикаторы!$E43-Индикаторы!$D43),(Индикаторы!$E43-Индикаторы!N43)/(Индикаторы!$E43-Индикаторы!$D43)),0))</f>
        <v>0</v>
      </c>
      <c r="P43" s="49">
        <f>IF($E43=0,0,_xlfn.IFERROR(IF($C43=1,(Индикаторы!O43-Индикаторы!$D43)/(Индикаторы!$E43-Индикаторы!$D43),(Индикаторы!$E43-Индикаторы!O43)/(Индикаторы!$E43-Индикаторы!$D43)),0))</f>
        <v>1</v>
      </c>
    </row>
    <row r="44" spans="1:16" s="8" customFormat="1" ht="56.25">
      <c r="A44" s="25" t="str">
        <f>Индикаторы!A44</f>
        <v>5.7</v>
      </c>
      <c r="B44" s="78" t="str">
        <f>Индикаторы!B44</f>
        <v>Своевременность предоставления бюджетной отчетности в Департамент финансов администрации района</v>
      </c>
      <c r="C44" s="25">
        <v>1</v>
      </c>
      <c r="D44" s="25">
        <v>1</v>
      </c>
      <c r="E44" s="72">
        <v>1</v>
      </c>
      <c r="F44" s="25"/>
      <c r="G44" s="25"/>
      <c r="H44" s="25"/>
      <c r="I44" s="49">
        <f>IF($E44=0,0,_xlfn.IFERROR(IF($C44=1,(Индикаторы!H44-Индикаторы!$D44)/(Индикаторы!$E44-Индикаторы!$D44),(Индикаторы!$E44-Индикаторы!H44)/(Индикаторы!$E44-Индикаторы!$D44)),))</f>
        <v>0</v>
      </c>
      <c r="J44" s="49">
        <f>IF($E44=0,0,_xlfn.IFERROR(IF($C44=1,(Индикаторы!I44-Индикаторы!$D44)/(Индикаторы!$E44-Индикаторы!$D44),(Индикаторы!$E44-Индикаторы!I44)/(Индикаторы!$E44-Индикаторы!$D44)),))</f>
        <v>0</v>
      </c>
      <c r="K44" s="49">
        <f>IF($E44=0,0,_xlfn.IFERROR(IF($C44=1,(Индикаторы!J44-Индикаторы!$D44)/(Индикаторы!$E44-Индикаторы!$D44),(Индикаторы!$E44-Индикаторы!J44)/(Индикаторы!$E44-Индикаторы!$D44)),))</f>
        <v>0</v>
      </c>
      <c r="L44" s="49">
        <f>IF($E44=0,0,_xlfn.IFERROR(IF($C44=1,(Индикаторы!K44-Индикаторы!$D44)/(Индикаторы!$E44-Индикаторы!$D44),(Индикаторы!$E44-Индикаторы!K44)/(Индикаторы!$E44-Индикаторы!$D44)),))</f>
        <v>0</v>
      </c>
      <c r="M44" s="49">
        <f>IF($E44=0,0,_xlfn.IFERROR(IF($C44=1,(Индикаторы!L44-Индикаторы!$D44)/(Индикаторы!$E44-Индикаторы!$D44),(Индикаторы!$E44-Индикаторы!L44)/(Индикаторы!$E44-Индикаторы!$D44)),))</f>
        <v>0</v>
      </c>
      <c r="N44" s="49">
        <f>IF($E44=0,0,_xlfn.IFERROR(IF($C44=1,(Индикаторы!M44-Индикаторы!$D44)/(Индикаторы!$E44-Индикаторы!$D44),(Индикаторы!$E44-Индикаторы!M44)/(Индикаторы!$E44-Индикаторы!$D44)),))</f>
        <v>0</v>
      </c>
      <c r="O44" s="49">
        <f>IF($E44=0,0,_xlfn.IFERROR(IF($C44=1,(Индикаторы!N44-Индикаторы!$D44)/(Индикаторы!$E44-Индикаторы!$D44),(Индикаторы!$E44-Индикаторы!N44)/(Индикаторы!$E44-Индикаторы!$D44)),))</f>
        <v>0</v>
      </c>
      <c r="P44" s="49">
        <f>IF($E44=0,0,_xlfn.IFERROR(IF($C44=1,(Индикаторы!O44-Индикаторы!$D44)/(Индикаторы!$E44-Индикаторы!$D44),(Индикаторы!$E44-Индикаторы!O44)/(Индикаторы!$E44-Индикаторы!$D44)),))</f>
        <v>0</v>
      </c>
    </row>
  </sheetData>
  <sheetProtection/>
  <mergeCells count="2">
    <mergeCell ref="B2:O2"/>
    <mergeCell ref="N1:O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9"/>
  <dimension ref="A1:O44"/>
  <sheetViews>
    <sheetView zoomScale="60" zoomScaleNormal="60" zoomScalePageLayoutView="0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O44"/>
    </sheetView>
  </sheetViews>
  <sheetFormatPr defaultColWidth="9.140625" defaultRowHeight="15"/>
  <cols>
    <col min="1" max="1" width="6.00390625" style="39" customWidth="1"/>
    <col min="2" max="2" width="55.140625" style="40" customWidth="1"/>
    <col min="3" max="3" width="59.421875" style="40" customWidth="1"/>
    <col min="4" max="4" width="14.421875" style="40" customWidth="1"/>
    <col min="5" max="5" width="16.28125" style="40" customWidth="1"/>
    <col min="6" max="6" width="13.8515625" style="8" customWidth="1"/>
    <col min="7" max="7" width="15.00390625" style="8" customWidth="1"/>
    <col min="8" max="8" width="14.57421875" style="40" customWidth="1"/>
    <col min="9" max="9" width="16.7109375" style="40" customWidth="1"/>
    <col min="10" max="11" width="13.28125" style="40" customWidth="1"/>
    <col min="12" max="14" width="12.7109375" style="40" customWidth="1"/>
    <col min="15" max="15" width="13.7109375" style="40" customWidth="1"/>
    <col min="16" max="16384" width="9.140625" style="40" customWidth="1"/>
  </cols>
  <sheetData>
    <row r="1" spans="13:14" ht="18.75">
      <c r="M1" s="174" t="s">
        <v>176</v>
      </c>
      <c r="N1" s="174"/>
    </row>
    <row r="3" spans="2:14" ht="18.75">
      <c r="B3" s="175" t="s">
        <v>172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5" spans="1:15" ht="56.25">
      <c r="A5" s="14" t="s">
        <v>0</v>
      </c>
      <c r="B5" s="14" t="s">
        <v>6</v>
      </c>
      <c r="C5" s="14" t="s">
        <v>7</v>
      </c>
      <c r="D5" s="14" t="s">
        <v>8</v>
      </c>
      <c r="E5" s="14" t="s">
        <v>9</v>
      </c>
      <c r="F5" s="15" t="s">
        <v>19</v>
      </c>
      <c r="G5" s="15" t="s">
        <v>20</v>
      </c>
      <c r="H5" s="15" t="s">
        <v>168</v>
      </c>
      <c r="I5" s="15" t="s">
        <v>161</v>
      </c>
      <c r="J5" s="15" t="s">
        <v>162</v>
      </c>
      <c r="K5" s="15" t="s">
        <v>163</v>
      </c>
      <c r="L5" s="15" t="s">
        <v>164</v>
      </c>
      <c r="M5" s="15" t="s">
        <v>165</v>
      </c>
      <c r="N5" s="15" t="s">
        <v>166</v>
      </c>
      <c r="O5" s="15" t="s">
        <v>178</v>
      </c>
    </row>
    <row r="6" spans="1:15" s="44" customFormat="1" ht="18.75">
      <c r="A6" s="41"/>
      <c r="B6" s="42" t="s">
        <v>10</v>
      </c>
      <c r="C6" s="42"/>
      <c r="D6" s="42"/>
      <c r="E6" s="42"/>
      <c r="F6" s="110"/>
      <c r="G6" s="110"/>
      <c r="H6" s="43"/>
      <c r="I6" s="43"/>
      <c r="J6" s="43"/>
      <c r="K6" s="43"/>
      <c r="L6" s="43"/>
      <c r="M6" s="43"/>
      <c r="N6" s="43"/>
      <c r="O6" s="107"/>
    </row>
    <row r="7" spans="1:15" s="8" customFormat="1" ht="75">
      <c r="A7" s="45" t="s">
        <v>21</v>
      </c>
      <c r="B7" s="28" t="s">
        <v>1</v>
      </c>
      <c r="C7" s="46" t="s">
        <v>142</v>
      </c>
      <c r="D7" s="47">
        <v>0</v>
      </c>
      <c r="E7" s="47">
        <v>1</v>
      </c>
      <c r="F7" s="25">
        <f aca="true" t="shared" si="0" ref="F7:F12">MIN($H7:$O7)</f>
        <v>1</v>
      </c>
      <c r="G7" s="25">
        <f aca="true" t="shared" si="1" ref="G7:G12">MAX($H7:$O7)</f>
        <v>1</v>
      </c>
      <c r="H7" s="12">
        <f>Данные!F7</f>
        <v>1</v>
      </c>
      <c r="I7" s="12">
        <f>Данные!G7</f>
        <v>1</v>
      </c>
      <c r="J7" s="12">
        <f>Данные!H7</f>
        <v>1</v>
      </c>
      <c r="K7" s="12">
        <f>Данные!I7</f>
        <v>1</v>
      </c>
      <c r="L7" s="12">
        <f>Данные!J7</f>
        <v>1</v>
      </c>
      <c r="M7" s="12">
        <f>Данные!K7</f>
        <v>1</v>
      </c>
      <c r="N7" s="12">
        <f>Данные!L7</f>
        <v>1</v>
      </c>
      <c r="O7" s="12">
        <f>Данные!M7</f>
        <v>1</v>
      </c>
    </row>
    <row r="8" spans="1:15" s="8" customFormat="1" ht="75">
      <c r="A8" s="45" t="s">
        <v>22</v>
      </c>
      <c r="B8" s="46" t="s">
        <v>11</v>
      </c>
      <c r="C8" s="46" t="s">
        <v>141</v>
      </c>
      <c r="D8" s="47">
        <v>0</v>
      </c>
      <c r="E8" s="47">
        <v>1</v>
      </c>
      <c r="F8" s="25">
        <f t="shared" si="0"/>
        <v>1</v>
      </c>
      <c r="G8" s="25">
        <f t="shared" si="1"/>
        <v>1</v>
      </c>
      <c r="H8" s="12">
        <f>Данные!F8</f>
        <v>1</v>
      </c>
      <c r="I8" s="12">
        <f>Данные!G8</f>
        <v>1</v>
      </c>
      <c r="J8" s="12">
        <f>Данные!H8</f>
        <v>1</v>
      </c>
      <c r="K8" s="12">
        <f>Данные!I8</f>
        <v>1</v>
      </c>
      <c r="L8" s="12">
        <f>Данные!J8</f>
        <v>1</v>
      </c>
      <c r="M8" s="12">
        <f>Данные!K8</f>
        <v>1</v>
      </c>
      <c r="N8" s="12">
        <f>Данные!L8</f>
        <v>1</v>
      </c>
      <c r="O8" s="12">
        <f>Данные!M8</f>
        <v>1</v>
      </c>
    </row>
    <row r="9" spans="1:15" s="8" customFormat="1" ht="168.75">
      <c r="A9" s="45" t="s">
        <v>23</v>
      </c>
      <c r="B9" s="28" t="s">
        <v>179</v>
      </c>
      <c r="C9" s="46" t="s">
        <v>140</v>
      </c>
      <c r="D9" s="47">
        <f>F9</f>
        <v>0.012154572006290804</v>
      </c>
      <c r="E9" s="48">
        <f>G9</f>
        <v>1.102103861517976</v>
      </c>
      <c r="F9" s="48">
        <f t="shared" si="0"/>
        <v>0.012154572006290804</v>
      </c>
      <c r="G9" s="48">
        <f t="shared" si="1"/>
        <v>1.102103861517976</v>
      </c>
      <c r="H9" s="49">
        <f>ABS(Данные!F12+Данные!F13-Данные!F10-Данные!F11)/(Данные!F10+Данные!F11)</f>
        <v>0.6306449941525664</v>
      </c>
      <c r="I9" s="49">
        <f>ABS(Данные!G12+Данные!G13-Данные!G10-Данные!G11)/(Данные!G10+Данные!G11)</f>
        <v>0.3068974385351302</v>
      </c>
      <c r="J9" s="49">
        <f>ABS(Данные!H12+Данные!H13-Данные!H10-Данные!H11)/(Данные!H10+Данные!H11)</f>
        <v>0.07268170426065163</v>
      </c>
      <c r="K9" s="49">
        <f>ABS(Данные!I12+Данные!I13-Данные!I10-Данные!I11)/(Данные!I10+Данные!I11)</f>
        <v>0.5033726812816189</v>
      </c>
      <c r="L9" s="49">
        <f>ABS(Данные!J12+Данные!J13-Данные!J10-Данные!J11)/(Данные!J10+Данные!J11)</f>
        <v>0.21235521235521235</v>
      </c>
      <c r="M9" s="49">
        <f>ABS(Данные!K12+Данные!K13-Данные!K10-Данные!K11)/(Данные!K10+Данные!K11)</f>
        <v>0.7789997158283604</v>
      </c>
      <c r="N9" s="49">
        <f>ABS(Данные!L12+Данные!L13-Данные!L10-Данные!L11)/(Данные!L10+Данные!L11)</f>
        <v>0.012154572006290804</v>
      </c>
      <c r="O9" s="49">
        <f>ABS(Данные!M12+Данные!M13-Данные!M10-Данные!M11)/(Данные!M10+Данные!M11)</f>
        <v>1.102103861517976</v>
      </c>
    </row>
    <row r="10" spans="1:15" s="8" customFormat="1" ht="168.75">
      <c r="A10" s="45" t="s">
        <v>24</v>
      </c>
      <c r="B10" s="50" t="s">
        <v>139</v>
      </c>
      <c r="C10" s="46" t="s">
        <v>143</v>
      </c>
      <c r="D10" s="47">
        <v>0</v>
      </c>
      <c r="E10" s="47">
        <v>1</v>
      </c>
      <c r="F10" s="25">
        <f t="shared" si="0"/>
        <v>0</v>
      </c>
      <c r="G10" s="25">
        <f t="shared" si="1"/>
        <v>1</v>
      </c>
      <c r="H10" s="12">
        <f>Данные!F14</f>
        <v>1</v>
      </c>
      <c r="I10" s="12">
        <f>Данные!G14</f>
        <v>1</v>
      </c>
      <c r="J10" s="12">
        <f>Данные!H14</f>
        <v>0</v>
      </c>
      <c r="K10" s="12">
        <f>Данные!I14</f>
        <v>0</v>
      </c>
      <c r="L10" s="12">
        <f>Данные!J14</f>
        <v>0</v>
      </c>
      <c r="M10" s="12">
        <f>Данные!K14</f>
        <v>0</v>
      </c>
      <c r="N10" s="12">
        <f>Данные!L14</f>
        <v>0</v>
      </c>
      <c r="O10" s="12">
        <f>Данные!M14</f>
        <v>1</v>
      </c>
    </row>
    <row r="11" spans="1:15" s="8" customFormat="1" ht="243.75">
      <c r="A11" s="45" t="s">
        <v>25</v>
      </c>
      <c r="B11" s="46" t="s">
        <v>217</v>
      </c>
      <c r="C11" s="46" t="s">
        <v>216</v>
      </c>
      <c r="D11" s="47">
        <f>F11</f>
        <v>73.25242530941499</v>
      </c>
      <c r="E11" s="47">
        <f>G11</f>
        <v>100.00283256028042</v>
      </c>
      <c r="F11" s="25">
        <f t="shared" si="0"/>
        <v>73.25242530941499</v>
      </c>
      <c r="G11" s="48">
        <f t="shared" si="1"/>
        <v>100.00283256028042</v>
      </c>
      <c r="H11" s="30">
        <f>Данные!F16/(Данные!F84-Данные!F17)*100</f>
        <v>73.25242530941499</v>
      </c>
      <c r="I11" s="30">
        <f>Данные!G16/(Данные!G84-Данные!G17)*100</f>
        <v>99.98968422196262</v>
      </c>
      <c r="J11" s="30">
        <f>Данные!H16/(Данные!H84-Данные!H17)*100</f>
        <v>99.82061280051681</v>
      </c>
      <c r="K11" s="30">
        <f>Данные!I16/(Данные!I84-Данные!I17)*100</f>
        <v>100</v>
      </c>
      <c r="L11" s="30">
        <f>Данные!J16/(Данные!J84-Данные!J17)*100</f>
        <v>96.55651633777511</v>
      </c>
      <c r="M11" s="30">
        <f>Данные!K16/(Данные!K84-Данные!K17)*100</f>
        <v>98.41604544453892</v>
      </c>
      <c r="N11" s="30">
        <f>Данные!L16/(Данные!L84-Данные!L17)*100</f>
        <v>100</v>
      </c>
      <c r="O11" s="30">
        <f>Данные!M16/(Данные!M84-Данные!M17)*100</f>
        <v>100.00283256028042</v>
      </c>
    </row>
    <row r="12" spans="1:15" s="8" customFormat="1" ht="93.75">
      <c r="A12" s="45" t="s">
        <v>26</v>
      </c>
      <c r="B12" s="50" t="s">
        <v>180</v>
      </c>
      <c r="C12" s="46" t="s">
        <v>181</v>
      </c>
      <c r="D12" s="47">
        <v>0</v>
      </c>
      <c r="E12" s="47">
        <v>1</v>
      </c>
      <c r="F12" s="25">
        <f t="shared" si="0"/>
        <v>1</v>
      </c>
      <c r="G12" s="25">
        <f t="shared" si="1"/>
        <v>1</v>
      </c>
      <c r="H12" s="51">
        <f>Данные!F18</f>
        <v>1</v>
      </c>
      <c r="I12" s="51">
        <f>Данные!G18</f>
        <v>1</v>
      </c>
      <c r="J12" s="51">
        <f>Данные!H18</f>
        <v>1</v>
      </c>
      <c r="K12" s="51">
        <f>Данные!I18</f>
        <v>1</v>
      </c>
      <c r="L12" s="51">
        <f>Данные!J18</f>
        <v>1</v>
      </c>
      <c r="M12" s="51">
        <f>Данные!K18</f>
        <v>1</v>
      </c>
      <c r="N12" s="51">
        <f>Данные!L18</f>
        <v>1</v>
      </c>
      <c r="O12" s="51">
        <f>Данные!M18</f>
        <v>1</v>
      </c>
    </row>
    <row r="13" spans="1:15" s="58" customFormat="1" ht="18.75">
      <c r="A13" s="52"/>
      <c r="B13" s="53" t="s">
        <v>12</v>
      </c>
      <c r="C13" s="54"/>
      <c r="D13" s="54"/>
      <c r="E13" s="55"/>
      <c r="F13" s="56"/>
      <c r="G13" s="56"/>
      <c r="H13" s="57"/>
      <c r="I13" s="57"/>
      <c r="J13" s="57"/>
      <c r="K13" s="57"/>
      <c r="L13" s="57"/>
      <c r="M13" s="57"/>
      <c r="N13" s="57"/>
      <c r="O13" s="108"/>
    </row>
    <row r="14" spans="1:15" s="8" customFormat="1" ht="56.25">
      <c r="A14" s="45" t="s">
        <v>30</v>
      </c>
      <c r="B14" s="32" t="s">
        <v>13</v>
      </c>
      <c r="C14" s="34" t="s">
        <v>83</v>
      </c>
      <c r="D14" s="48">
        <f aca="true" t="shared" si="2" ref="D14:E21">F14</f>
        <v>1</v>
      </c>
      <c r="E14" s="48">
        <f t="shared" si="2"/>
        <v>4</v>
      </c>
      <c r="F14" s="48">
        <f>MIN($H14:$O14)</f>
        <v>1</v>
      </c>
      <c r="G14" s="48">
        <f>MAX($H14:$O14)</f>
        <v>4</v>
      </c>
      <c r="H14" s="49">
        <f>Данные!F20</f>
        <v>4</v>
      </c>
      <c r="I14" s="49">
        <f>Данные!G20</f>
        <v>4</v>
      </c>
      <c r="J14" s="49">
        <f>Данные!H20</f>
        <v>1</v>
      </c>
      <c r="K14" s="49">
        <f>Данные!I20</f>
        <v>2</v>
      </c>
      <c r="L14" s="49">
        <f>Данные!J20</f>
        <v>4</v>
      </c>
      <c r="M14" s="49">
        <f>Данные!K20</f>
        <v>3</v>
      </c>
      <c r="N14" s="49">
        <f>Данные!L20</f>
        <v>4</v>
      </c>
      <c r="O14" s="49">
        <f>Данные!M20</f>
        <v>3</v>
      </c>
    </row>
    <row r="15" spans="1:15" s="8" customFormat="1" ht="150">
      <c r="A15" s="45" t="s">
        <v>31</v>
      </c>
      <c r="B15" s="32" t="s">
        <v>84</v>
      </c>
      <c r="C15" s="34" t="s">
        <v>85</v>
      </c>
      <c r="D15" s="48">
        <f t="shared" si="2"/>
        <v>94.56840207347308</v>
      </c>
      <c r="E15" s="48">
        <f t="shared" si="2"/>
        <v>118.99913275302734</v>
      </c>
      <c r="F15" s="48">
        <f aca="true" t="shared" si="3" ref="F15:F44">MIN($H15:$O15)</f>
        <v>94.56840207347308</v>
      </c>
      <c r="G15" s="48">
        <f aca="true" t="shared" si="4" ref="G15:G44">MAX($H15:$O15)</f>
        <v>118.99913275302734</v>
      </c>
      <c r="H15" s="49">
        <f>Данные!F21</f>
        <v>110.54732910950942</v>
      </c>
      <c r="I15" s="49">
        <f>Данные!G21</f>
        <v>96.79832473413985</v>
      </c>
      <c r="J15" s="49">
        <f>Данные!H21</f>
        <v>99.67610586711086</v>
      </c>
      <c r="K15" s="49">
        <f>Данные!I21</f>
        <v>94.56840207347308</v>
      </c>
      <c r="L15" s="49">
        <f>Данные!J21</f>
        <v>103.19767441860463</v>
      </c>
      <c r="M15" s="49">
        <f>Данные!K21</f>
        <v>118.99913275302734</v>
      </c>
      <c r="N15" s="49">
        <f>Данные!L21</f>
        <v>104.8508511635171</v>
      </c>
      <c r="O15" s="49">
        <f>Данные!M21</f>
        <v>98.65786824739962</v>
      </c>
    </row>
    <row r="16" spans="1:15" s="8" customFormat="1" ht="150">
      <c r="A16" s="45" t="s">
        <v>32</v>
      </c>
      <c r="B16" s="32" t="s">
        <v>86</v>
      </c>
      <c r="C16" s="34" t="s">
        <v>87</v>
      </c>
      <c r="D16" s="48">
        <f t="shared" si="2"/>
        <v>6.197023921642494</v>
      </c>
      <c r="E16" s="48">
        <f t="shared" si="2"/>
        <v>391.7522612294957</v>
      </c>
      <c r="F16" s="48">
        <f t="shared" si="3"/>
        <v>6.197023921642494</v>
      </c>
      <c r="G16" s="48">
        <f t="shared" si="4"/>
        <v>391.7522612294957</v>
      </c>
      <c r="H16" s="49">
        <f>Данные!F24</f>
        <v>298.9278155454617</v>
      </c>
      <c r="I16" s="49">
        <f>Данные!G24</f>
        <v>113.7808987493498</v>
      </c>
      <c r="J16" s="49">
        <f>Данные!H24</f>
        <v>6.197023921642494</v>
      </c>
      <c r="K16" s="49">
        <f>Данные!I24</f>
        <v>153.53831137140065</v>
      </c>
      <c r="L16" s="49">
        <f>Данные!J24</f>
        <v>141.86571981923822</v>
      </c>
      <c r="M16" s="49">
        <f>Данные!K24</f>
        <v>391.7522612294957</v>
      </c>
      <c r="N16" s="49">
        <f>Данные!L24</f>
        <v>73.2258518727119</v>
      </c>
      <c r="O16" s="49">
        <f>Данные!M24</f>
        <v>104.73326270462391</v>
      </c>
    </row>
    <row r="17" spans="1:15" s="8" customFormat="1" ht="131.25">
      <c r="A17" s="45" t="s">
        <v>33</v>
      </c>
      <c r="B17" s="32" t="s">
        <v>182</v>
      </c>
      <c r="C17" s="34" t="s">
        <v>183</v>
      </c>
      <c r="D17" s="48">
        <f t="shared" si="2"/>
        <v>0</v>
      </c>
      <c r="E17" s="48">
        <f t="shared" si="2"/>
        <v>0</v>
      </c>
      <c r="F17" s="48">
        <f t="shared" si="3"/>
        <v>0</v>
      </c>
      <c r="G17" s="48">
        <f t="shared" si="4"/>
        <v>0</v>
      </c>
      <c r="H17" s="49">
        <f>Данные!F27</f>
        <v>0</v>
      </c>
      <c r="I17" s="49">
        <f>Данные!G27</f>
        <v>0</v>
      </c>
      <c r="J17" s="49">
        <f>Данные!H27</f>
        <v>0</v>
      </c>
      <c r="K17" s="49">
        <f>Данные!I27</f>
        <v>0</v>
      </c>
      <c r="L17" s="49">
        <f>Данные!J27</f>
        <v>0</v>
      </c>
      <c r="M17" s="49">
        <f>Данные!K27</f>
        <v>0</v>
      </c>
      <c r="N17" s="49">
        <f>Данные!L27</f>
        <v>0</v>
      </c>
      <c r="O17" s="49">
        <f>Данные!M27</f>
        <v>0</v>
      </c>
    </row>
    <row r="18" spans="1:15" s="8" customFormat="1" ht="187.5">
      <c r="A18" s="45" t="s">
        <v>34</v>
      </c>
      <c r="B18" s="32" t="s">
        <v>88</v>
      </c>
      <c r="C18" s="34" t="s">
        <v>89</v>
      </c>
      <c r="D18" s="48">
        <f t="shared" si="2"/>
        <v>0.7168382786478771</v>
      </c>
      <c r="E18" s="48">
        <f t="shared" si="2"/>
        <v>2.423192863098153</v>
      </c>
      <c r="F18" s="48">
        <f t="shared" si="3"/>
        <v>0.7168382786478771</v>
      </c>
      <c r="G18" s="48">
        <f t="shared" si="4"/>
        <v>2.423192863098153</v>
      </c>
      <c r="H18" s="49">
        <f>_xlfn.IFERROR(Данные!F39/AVERAGE(Данные!F30,Данные!F33,Данные!F36),0)</f>
        <v>2.423192863098153</v>
      </c>
      <c r="I18" s="49">
        <f>_xlfn.IFERROR(Данные!G39/AVERAGE(Данные!G30,Данные!G33,Данные!G36),0)</f>
        <v>1.8999843596786896</v>
      </c>
      <c r="J18" s="49">
        <f>_xlfn.IFERROR(Данные!H39/AVERAGE(Данные!H30,Данные!H33,Данные!H36),0)</f>
        <v>1.273782818282098</v>
      </c>
      <c r="K18" s="49">
        <f>_xlfn.IFERROR(Данные!I39/AVERAGE(Данные!I30,Данные!I33,Данные!I36),0)</f>
        <v>1.0349743671053329</v>
      </c>
      <c r="L18" s="49">
        <f>_xlfn.IFERROR(Данные!J39/AVERAGE(Данные!J30,Данные!J33,Данные!J36),0)</f>
        <v>1.1204137097991844</v>
      </c>
      <c r="M18" s="49">
        <f>_xlfn.IFERROR(Данные!K39/AVERAGE(Данные!K30,Данные!K33,Данные!K36),0)</f>
        <v>1.4424168422182562</v>
      </c>
      <c r="N18" s="49">
        <f>_xlfn.IFERROR(Данные!L39/AVERAGE(Данные!L30,Данные!L33,Данные!L36),0)</f>
        <v>0.7168382786478771</v>
      </c>
      <c r="O18" s="49">
        <f>_xlfn.IFERROR(Данные!M39/AVERAGE(Данные!M30,Данные!M33,Данные!M36),0)</f>
        <v>1.1361143222569299</v>
      </c>
    </row>
    <row r="19" spans="1:15" s="8" customFormat="1" ht="243.75">
      <c r="A19" s="45" t="s">
        <v>35</v>
      </c>
      <c r="B19" s="32" t="s">
        <v>90</v>
      </c>
      <c r="C19" s="34" t="s">
        <v>91</v>
      </c>
      <c r="D19" s="48">
        <f t="shared" si="2"/>
        <v>0.021058161162217866</v>
      </c>
      <c r="E19" s="48">
        <f t="shared" si="2"/>
        <v>0.11241476586202916</v>
      </c>
      <c r="F19" s="48">
        <f t="shared" si="3"/>
        <v>0.021058161162217866</v>
      </c>
      <c r="G19" s="48">
        <f t="shared" si="4"/>
        <v>0.11241476586202916</v>
      </c>
      <c r="H19" s="49">
        <f>Данные!F42</f>
        <v>0.021058161162217866</v>
      </c>
      <c r="I19" s="49">
        <f>Данные!G42</f>
        <v>0.03871010975340206</v>
      </c>
      <c r="J19" s="49">
        <f>Данные!H42</f>
        <v>0.026579771554900516</v>
      </c>
      <c r="K19" s="49">
        <f>Данные!I42</f>
        <v>0.0588214662081478</v>
      </c>
      <c r="L19" s="49">
        <f>Данные!J42</f>
        <v>0.0808797452853294</v>
      </c>
      <c r="M19" s="49">
        <f>Данные!K42</f>
        <v>0.11241476586202916</v>
      </c>
      <c r="N19" s="49">
        <f>Данные!L42</f>
        <v>0.052209587051653815</v>
      </c>
      <c r="O19" s="49">
        <f>Данные!M42</f>
        <v>0.060596046890665</v>
      </c>
    </row>
    <row r="20" spans="1:15" s="8" customFormat="1" ht="168.75" customHeight="1">
      <c r="A20" s="45" t="s">
        <v>36</v>
      </c>
      <c r="B20" s="32" t="s">
        <v>184</v>
      </c>
      <c r="C20" s="34" t="s">
        <v>185</v>
      </c>
      <c r="D20" s="48">
        <f t="shared" si="2"/>
        <v>1</v>
      </c>
      <c r="E20" s="48">
        <v>1</v>
      </c>
      <c r="F20" s="48">
        <f t="shared" si="3"/>
        <v>1</v>
      </c>
      <c r="G20" s="48">
        <f t="shared" si="4"/>
        <v>1</v>
      </c>
      <c r="H20" s="49">
        <f>Данные!F44</f>
        <v>1</v>
      </c>
      <c r="I20" s="49">
        <f>Данные!G44</f>
        <v>1</v>
      </c>
      <c r="J20" s="49">
        <f>Данные!H44</f>
        <v>1</v>
      </c>
      <c r="K20" s="49">
        <f>Данные!I44</f>
        <v>1</v>
      </c>
      <c r="L20" s="49">
        <f>Данные!J44</f>
        <v>1</v>
      </c>
      <c r="M20" s="49">
        <f>Данные!K44</f>
        <v>1</v>
      </c>
      <c r="N20" s="49">
        <f>Данные!L44</f>
        <v>1</v>
      </c>
      <c r="O20" s="49">
        <f>Данные!M44</f>
        <v>1</v>
      </c>
    </row>
    <row r="21" spans="1:15" s="8" customFormat="1" ht="75">
      <c r="A21" s="45" t="s">
        <v>37</v>
      </c>
      <c r="B21" s="32" t="s">
        <v>186</v>
      </c>
      <c r="C21" s="34" t="s">
        <v>187</v>
      </c>
      <c r="D21" s="48">
        <f t="shared" si="2"/>
        <v>1</v>
      </c>
      <c r="E21" s="48">
        <v>1</v>
      </c>
      <c r="F21" s="48">
        <f t="shared" si="3"/>
        <v>1</v>
      </c>
      <c r="G21" s="48">
        <f t="shared" si="4"/>
        <v>1</v>
      </c>
      <c r="H21" s="49">
        <f>Данные!F46</f>
        <v>1</v>
      </c>
      <c r="I21" s="49">
        <f>Данные!G46</f>
        <v>1</v>
      </c>
      <c r="J21" s="49">
        <f>Данные!H46</f>
        <v>1</v>
      </c>
      <c r="K21" s="49">
        <f>Данные!I46</f>
        <v>1</v>
      </c>
      <c r="L21" s="49">
        <f>Данные!J46</f>
        <v>1</v>
      </c>
      <c r="M21" s="49">
        <f>Данные!K46</f>
        <v>1</v>
      </c>
      <c r="N21" s="49">
        <f>Данные!L46</f>
        <v>1</v>
      </c>
      <c r="O21" s="49">
        <f>Данные!M46</f>
        <v>1</v>
      </c>
    </row>
    <row r="22" spans="1:15" s="8" customFormat="1" ht="131.25">
      <c r="A22" s="45" t="s">
        <v>38</v>
      </c>
      <c r="B22" s="32" t="s">
        <v>144</v>
      </c>
      <c r="C22" s="34" t="s">
        <v>145</v>
      </c>
      <c r="D22" s="47">
        <v>0</v>
      </c>
      <c r="E22" s="47">
        <v>1</v>
      </c>
      <c r="F22" s="48">
        <f t="shared" si="3"/>
        <v>0</v>
      </c>
      <c r="G22" s="48">
        <f t="shared" si="4"/>
        <v>1</v>
      </c>
      <c r="H22" s="49">
        <f>Данные!F47</f>
        <v>1</v>
      </c>
      <c r="I22" s="49">
        <f>Данные!G47</f>
        <v>0</v>
      </c>
      <c r="J22" s="49">
        <f>Данные!H47</f>
        <v>0</v>
      </c>
      <c r="K22" s="49">
        <f>Данные!I47</f>
        <v>0</v>
      </c>
      <c r="L22" s="49">
        <f>Данные!J47</f>
        <v>0</v>
      </c>
      <c r="M22" s="49">
        <f>Данные!K47</f>
        <v>0</v>
      </c>
      <c r="N22" s="49">
        <f>Данные!L47</f>
        <v>0</v>
      </c>
      <c r="O22" s="49">
        <f>Данные!M47</f>
        <v>0</v>
      </c>
    </row>
    <row r="23" spans="1:15" s="8" customFormat="1" ht="56.25" customHeight="1">
      <c r="A23" s="45" t="s">
        <v>39</v>
      </c>
      <c r="B23" s="32" t="s">
        <v>146</v>
      </c>
      <c r="C23" s="34" t="s">
        <v>147</v>
      </c>
      <c r="D23" s="47">
        <v>0</v>
      </c>
      <c r="E23" s="47">
        <v>1</v>
      </c>
      <c r="F23" s="48">
        <f t="shared" si="3"/>
        <v>0</v>
      </c>
      <c r="G23" s="48">
        <f t="shared" si="4"/>
        <v>0</v>
      </c>
      <c r="H23" s="49">
        <f>Данные!F48</f>
        <v>0</v>
      </c>
      <c r="I23" s="49">
        <f>Данные!G48</f>
        <v>0</v>
      </c>
      <c r="J23" s="49">
        <f>Данные!H48</f>
        <v>0</v>
      </c>
      <c r="K23" s="49">
        <f>Данные!I48</f>
        <v>0</v>
      </c>
      <c r="L23" s="49">
        <f>Данные!J48</f>
        <v>0</v>
      </c>
      <c r="M23" s="49">
        <f>Данные!K48</f>
        <v>0</v>
      </c>
      <c r="N23" s="49">
        <f>Данные!L48</f>
        <v>0</v>
      </c>
      <c r="O23" s="49">
        <f>Данные!M48</f>
        <v>0</v>
      </c>
    </row>
    <row r="24" spans="1:15" s="8" customFormat="1" ht="18.75">
      <c r="A24" s="45"/>
      <c r="B24" s="59"/>
      <c r="C24" s="34"/>
      <c r="D24" s="60"/>
      <c r="E24" s="47"/>
      <c r="F24" s="48"/>
      <c r="G24" s="48"/>
      <c r="H24" s="49"/>
      <c r="I24" s="49"/>
      <c r="J24" s="49"/>
      <c r="K24" s="49"/>
      <c r="L24" s="49"/>
      <c r="M24" s="49"/>
      <c r="N24" s="49"/>
      <c r="O24" s="49"/>
    </row>
    <row r="25" spans="1:15" s="58" customFormat="1" ht="18.75">
      <c r="A25" s="52"/>
      <c r="B25" s="61" t="s">
        <v>14</v>
      </c>
      <c r="C25" s="62"/>
      <c r="D25" s="62"/>
      <c r="E25" s="63"/>
      <c r="F25" s="64"/>
      <c r="G25" s="64"/>
      <c r="H25" s="65"/>
      <c r="I25" s="65"/>
      <c r="J25" s="65"/>
      <c r="K25" s="65"/>
      <c r="L25" s="65"/>
      <c r="M25" s="65"/>
      <c r="N25" s="65"/>
      <c r="O25" s="108"/>
    </row>
    <row r="26" spans="1:15" s="8" customFormat="1" ht="75">
      <c r="A26" s="45" t="s">
        <v>40</v>
      </c>
      <c r="B26" s="32" t="s">
        <v>188</v>
      </c>
      <c r="C26" s="34" t="s">
        <v>191</v>
      </c>
      <c r="D26" s="48">
        <v>0</v>
      </c>
      <c r="E26" s="48">
        <v>1</v>
      </c>
      <c r="F26" s="48">
        <f t="shared" si="3"/>
        <v>1</v>
      </c>
      <c r="G26" s="48">
        <f t="shared" si="4"/>
        <v>1</v>
      </c>
      <c r="H26" s="49">
        <f>Данные!F51</f>
        <v>1</v>
      </c>
      <c r="I26" s="49">
        <f>Данные!G51</f>
        <v>1</v>
      </c>
      <c r="J26" s="49">
        <f>Данные!H51</f>
        <v>1</v>
      </c>
      <c r="K26" s="49">
        <f>Данные!I51</f>
        <v>1</v>
      </c>
      <c r="L26" s="49">
        <f>Данные!J51</f>
        <v>1</v>
      </c>
      <c r="M26" s="49">
        <f>Данные!K51</f>
        <v>1</v>
      </c>
      <c r="N26" s="49">
        <f>Данные!L51</f>
        <v>1</v>
      </c>
      <c r="O26" s="49">
        <f>Данные!M51</f>
        <v>1</v>
      </c>
    </row>
    <row r="27" spans="1:15" s="8" customFormat="1" ht="75">
      <c r="A27" s="45" t="s">
        <v>41</v>
      </c>
      <c r="B27" s="32" t="s">
        <v>189</v>
      </c>
      <c r="C27" s="34" t="s">
        <v>190</v>
      </c>
      <c r="D27" s="48">
        <f>F27</f>
        <v>0</v>
      </c>
      <c r="E27" s="48">
        <f>G27</f>
        <v>0</v>
      </c>
      <c r="F27" s="48">
        <f t="shared" si="3"/>
        <v>0</v>
      </c>
      <c r="G27" s="48">
        <f t="shared" si="4"/>
        <v>0</v>
      </c>
      <c r="H27" s="49">
        <f>_xlfn.IFERROR(Данные!F53/Данные!F54,0)</f>
        <v>0</v>
      </c>
      <c r="I27" s="49">
        <f>_xlfn.IFERROR(Данные!G53/Данные!G54,0)</f>
        <v>0</v>
      </c>
      <c r="J27" s="49">
        <f>_xlfn.IFERROR(Данные!H53/Данные!H54,0)</f>
        <v>0</v>
      </c>
      <c r="K27" s="49">
        <f>_xlfn.IFERROR(Данные!I53/Данные!I54,0)</f>
        <v>0</v>
      </c>
      <c r="L27" s="49">
        <f>_xlfn.IFERROR(Данные!J53/Данные!J54,0)</f>
        <v>0</v>
      </c>
      <c r="M27" s="49">
        <f>_xlfn.IFERROR(Данные!K53/Данные!K54,0)</f>
        <v>0</v>
      </c>
      <c r="N27" s="49">
        <f>_xlfn.IFERROR(Данные!L53/Данные!L54,0)</f>
        <v>0</v>
      </c>
      <c r="O27" s="49">
        <f>_xlfn.IFERROR(Данные!M53/Данные!M54,0)</f>
        <v>0</v>
      </c>
    </row>
    <row r="28" spans="1:15" s="8" customFormat="1" ht="168.75">
      <c r="A28" s="45" t="s">
        <v>94</v>
      </c>
      <c r="B28" s="32" t="s">
        <v>92</v>
      </c>
      <c r="C28" s="34" t="s">
        <v>93</v>
      </c>
      <c r="D28" s="48">
        <f>F28</f>
        <v>0</v>
      </c>
      <c r="E28" s="48">
        <f>G28</f>
        <v>0</v>
      </c>
      <c r="F28" s="48">
        <f t="shared" si="3"/>
        <v>0</v>
      </c>
      <c r="G28" s="48">
        <f t="shared" si="4"/>
        <v>0</v>
      </c>
      <c r="H28" s="49">
        <f>_xlfn.IFERROR(Данные!F56/(Данные!F57),0)</f>
        <v>0</v>
      </c>
      <c r="I28" s="49">
        <f>_xlfn.IFERROR(Данные!G56/(Данные!G57),0)</f>
        <v>0</v>
      </c>
      <c r="J28" s="49">
        <f>_xlfn.IFERROR(Данные!H56/(Данные!H57),0)</f>
        <v>0</v>
      </c>
      <c r="K28" s="49">
        <f>_xlfn.IFERROR(Данные!I56/(Данные!I57),0)</f>
        <v>0</v>
      </c>
      <c r="L28" s="49">
        <f>_xlfn.IFERROR(Данные!J56/(Данные!J57),0)</f>
        <v>0</v>
      </c>
      <c r="M28" s="49">
        <f>_xlfn.IFERROR(Данные!K56/(Данные!K57),0)</f>
        <v>0</v>
      </c>
      <c r="N28" s="49">
        <f>_xlfn.IFERROR(Данные!L56/(Данные!L57),0)</f>
        <v>0</v>
      </c>
      <c r="O28" s="49">
        <f>_xlfn.IFERROR(Данные!M56/(Данные!M57),0)</f>
        <v>0</v>
      </c>
    </row>
    <row r="29" spans="1:15" s="44" customFormat="1" ht="18.75">
      <c r="A29" s="41"/>
      <c r="B29" s="113" t="s">
        <v>15</v>
      </c>
      <c r="C29" s="42"/>
      <c r="D29" s="42"/>
      <c r="E29" s="42"/>
      <c r="F29" s="110"/>
      <c r="G29" s="110"/>
      <c r="H29" s="43"/>
      <c r="I29" s="43"/>
      <c r="J29" s="43"/>
      <c r="K29" s="43"/>
      <c r="L29" s="43"/>
      <c r="M29" s="43"/>
      <c r="N29" s="43"/>
      <c r="O29" s="107"/>
    </row>
    <row r="30" spans="1:15" s="8" customFormat="1" ht="150">
      <c r="A30" s="111" t="s">
        <v>42</v>
      </c>
      <c r="B30" s="115" t="s">
        <v>192</v>
      </c>
      <c r="C30" s="112" t="s">
        <v>193</v>
      </c>
      <c r="D30" s="47">
        <v>0</v>
      </c>
      <c r="E30" s="47">
        <v>1</v>
      </c>
      <c r="F30" s="48">
        <f t="shared" si="3"/>
        <v>0</v>
      </c>
      <c r="G30" s="48">
        <f t="shared" si="4"/>
        <v>1</v>
      </c>
      <c r="H30" s="49">
        <f>Данные!F59</f>
        <v>0.5</v>
      </c>
      <c r="I30" s="49">
        <f>Данные!G59</f>
        <v>0.6666666666666666</v>
      </c>
      <c r="J30" s="49">
        <f>Данные!H59</f>
        <v>0</v>
      </c>
      <c r="K30" s="49">
        <f>Данные!I59</f>
        <v>0.5</v>
      </c>
      <c r="L30" s="49">
        <f>Данные!J59</f>
        <v>0.6666666666666666</v>
      </c>
      <c r="M30" s="49">
        <f>Данные!K59</f>
        <v>1</v>
      </c>
      <c r="N30" s="49">
        <f>Данные!L59</f>
        <v>1</v>
      </c>
      <c r="O30" s="49">
        <f>Данные!M59</f>
        <v>1</v>
      </c>
    </row>
    <row r="31" spans="1:15" s="8" customFormat="1" ht="93.75">
      <c r="A31" s="45" t="s">
        <v>43</v>
      </c>
      <c r="B31" s="114" t="s">
        <v>194</v>
      </c>
      <c r="C31" s="34" t="s">
        <v>148</v>
      </c>
      <c r="D31" s="47">
        <v>0</v>
      </c>
      <c r="E31" s="47">
        <v>1</v>
      </c>
      <c r="F31" s="48">
        <f t="shared" si="3"/>
        <v>0</v>
      </c>
      <c r="G31" s="48">
        <f t="shared" si="4"/>
        <v>0</v>
      </c>
      <c r="H31" s="49">
        <f>Данные!F62</f>
        <v>0</v>
      </c>
      <c r="I31" s="49">
        <f>Данные!G62</f>
        <v>0</v>
      </c>
      <c r="J31" s="49">
        <f>Данные!H62</f>
        <v>0</v>
      </c>
      <c r="K31" s="49">
        <f>Данные!I62</f>
        <v>0</v>
      </c>
      <c r="L31" s="49">
        <f>Данные!J62</f>
        <v>0</v>
      </c>
      <c r="M31" s="49">
        <f>Данные!K62</f>
        <v>0</v>
      </c>
      <c r="N31" s="49">
        <f>Данные!L62</f>
        <v>0</v>
      </c>
      <c r="O31" s="49">
        <f>Данные!M62</f>
        <v>0</v>
      </c>
    </row>
    <row r="32" spans="1:15" s="8" customFormat="1" ht="112.5">
      <c r="A32" s="45" t="s">
        <v>44</v>
      </c>
      <c r="B32" s="32" t="s">
        <v>135</v>
      </c>
      <c r="C32" s="34" t="s">
        <v>149</v>
      </c>
      <c r="D32" s="47">
        <v>0</v>
      </c>
      <c r="E32" s="47">
        <v>1</v>
      </c>
      <c r="F32" s="48">
        <f t="shared" si="3"/>
        <v>0</v>
      </c>
      <c r="G32" s="48">
        <f t="shared" si="4"/>
        <v>1</v>
      </c>
      <c r="H32" s="49">
        <f>Данные!F63</f>
        <v>1</v>
      </c>
      <c r="I32" s="49">
        <f>Данные!G63</f>
        <v>0</v>
      </c>
      <c r="J32" s="49">
        <f>Данные!H63</f>
        <v>0</v>
      </c>
      <c r="K32" s="49">
        <f>Данные!I63</f>
        <v>1</v>
      </c>
      <c r="L32" s="49">
        <f>Данные!J63</f>
        <v>0</v>
      </c>
      <c r="M32" s="49">
        <f>Данные!K63</f>
        <v>1</v>
      </c>
      <c r="N32" s="49">
        <f>Данные!L63</f>
        <v>0</v>
      </c>
      <c r="O32" s="49">
        <f>Данные!M63</f>
        <v>0</v>
      </c>
    </row>
    <row r="33" spans="1:15" s="8" customFormat="1" ht="225">
      <c r="A33" s="45" t="s">
        <v>45</v>
      </c>
      <c r="B33" s="32" t="s">
        <v>195</v>
      </c>
      <c r="C33" s="34" t="s">
        <v>196</v>
      </c>
      <c r="D33" s="48" t="e">
        <f>F33</f>
        <v>#DIV/0!</v>
      </c>
      <c r="E33" s="48" t="e">
        <f>G33</f>
        <v>#DIV/0!</v>
      </c>
      <c r="F33" s="48" t="e">
        <f t="shared" si="3"/>
        <v>#DIV/0!</v>
      </c>
      <c r="G33" s="48" t="e">
        <f t="shared" si="4"/>
        <v>#DIV/0!</v>
      </c>
      <c r="H33" s="49" t="e">
        <f>Данные!F64</f>
        <v>#DIV/0!</v>
      </c>
      <c r="I33" s="49" t="e">
        <f>Данные!G64</f>
        <v>#DIV/0!</v>
      </c>
      <c r="J33" s="49" t="e">
        <f>Данные!H64</f>
        <v>#DIV/0!</v>
      </c>
      <c r="K33" s="49" t="e">
        <f>Данные!I64</f>
        <v>#DIV/0!</v>
      </c>
      <c r="L33" s="49" t="e">
        <f>Данные!J64</f>
        <v>#DIV/0!</v>
      </c>
      <c r="M33" s="49">
        <f>Данные!K64</f>
        <v>0</v>
      </c>
      <c r="N33" s="49" t="e">
        <f>Данные!L64</f>
        <v>#DIV/0!</v>
      </c>
      <c r="O33" s="49" t="e">
        <f>Данные!M64</f>
        <v>#DIV/0!</v>
      </c>
    </row>
    <row r="34" spans="1:15" s="8" customFormat="1" ht="206.25">
      <c r="A34" s="45" t="s">
        <v>46</v>
      </c>
      <c r="B34" s="32" t="s">
        <v>197</v>
      </c>
      <c r="C34" s="34" t="s">
        <v>95</v>
      </c>
      <c r="D34" s="48">
        <f>F34</f>
        <v>0</v>
      </c>
      <c r="E34" s="48">
        <f>G34</f>
        <v>0.39176981257490456</v>
      </c>
      <c r="F34" s="48">
        <f t="shared" si="3"/>
        <v>0</v>
      </c>
      <c r="G34" s="48">
        <f t="shared" si="4"/>
        <v>0.39176981257490456</v>
      </c>
      <c r="H34" s="49">
        <f>Данные!F67</f>
        <v>0</v>
      </c>
      <c r="I34" s="49">
        <f>Данные!G67</f>
        <v>0</v>
      </c>
      <c r="J34" s="49">
        <f>Данные!H67</f>
        <v>0</v>
      </c>
      <c r="K34" s="49">
        <f>Данные!I67</f>
        <v>0</v>
      </c>
      <c r="L34" s="49">
        <f>Данные!J67</f>
        <v>0</v>
      </c>
      <c r="M34" s="49">
        <f>Данные!K67</f>
        <v>0.39176981257490456</v>
      </c>
      <c r="N34" s="49">
        <f>Данные!L67</f>
        <v>0</v>
      </c>
      <c r="O34" s="49">
        <f>Данные!M67</f>
        <v>0</v>
      </c>
    </row>
    <row r="35" spans="1:15" s="8" customFormat="1" ht="56.25">
      <c r="A35" s="45" t="s">
        <v>47</v>
      </c>
      <c r="B35" s="32" t="s">
        <v>4</v>
      </c>
      <c r="C35" s="34" t="s">
        <v>150</v>
      </c>
      <c r="D35" s="47">
        <v>0</v>
      </c>
      <c r="E35" s="47">
        <v>1</v>
      </c>
      <c r="F35" s="48">
        <f t="shared" si="3"/>
        <v>0</v>
      </c>
      <c r="G35" s="48">
        <f t="shared" si="4"/>
        <v>0</v>
      </c>
      <c r="H35" s="49">
        <f>Данные!F70</f>
        <v>0</v>
      </c>
      <c r="I35" s="49">
        <f>Данные!G70</f>
        <v>0</v>
      </c>
      <c r="J35" s="49">
        <f>Данные!H70</f>
        <v>0</v>
      </c>
      <c r="K35" s="49">
        <f>Данные!I70</f>
        <v>0</v>
      </c>
      <c r="L35" s="49">
        <f>Данные!J70</f>
        <v>0</v>
      </c>
      <c r="M35" s="49">
        <f>Данные!K70</f>
        <v>0</v>
      </c>
      <c r="N35" s="49">
        <f>Данные!L70</f>
        <v>0</v>
      </c>
      <c r="O35" s="49">
        <f>Данные!M70</f>
        <v>0</v>
      </c>
    </row>
    <row r="36" spans="1:15" s="8" customFormat="1" ht="187.5">
      <c r="A36" s="45" t="s">
        <v>48</v>
      </c>
      <c r="B36" s="34" t="s">
        <v>16</v>
      </c>
      <c r="C36" s="34" t="s">
        <v>66</v>
      </c>
      <c r="D36" s="48">
        <f>F36</f>
        <v>0</v>
      </c>
      <c r="E36" s="48">
        <f>G36</f>
        <v>0.3333333333333333</v>
      </c>
      <c r="F36" s="48">
        <f t="shared" si="3"/>
        <v>0</v>
      </c>
      <c r="G36" s="48">
        <f t="shared" si="4"/>
        <v>0.3333333333333333</v>
      </c>
      <c r="H36" s="49">
        <f>(Данные!F73+Данные!F74)/(Данные!F72)</f>
        <v>0</v>
      </c>
      <c r="I36" s="49">
        <f>(Данные!G73+Данные!G74)/(Данные!G72)</f>
        <v>0</v>
      </c>
      <c r="J36" s="49">
        <f>(Данные!H73+Данные!H74)/(Данные!H72)</f>
        <v>0</v>
      </c>
      <c r="K36" s="49">
        <f>(Данные!I73+Данные!I74)/(Данные!I72)</f>
        <v>0</v>
      </c>
      <c r="L36" s="49">
        <f>(Данные!J73+Данные!J74)/(Данные!J72)</f>
        <v>0</v>
      </c>
      <c r="M36" s="49">
        <f>(Данные!K73+Данные!K74)/(Данные!K72)</f>
        <v>0.3333333333333333</v>
      </c>
      <c r="N36" s="49">
        <f>(Данные!L73+Данные!L74)/(Данные!L72)</f>
        <v>0</v>
      </c>
      <c r="O36" s="49">
        <f>(Данные!M73+Данные!M74)/(Данные!M72)</f>
        <v>0</v>
      </c>
    </row>
    <row r="37" spans="1:15" ht="18.75">
      <c r="A37" s="62"/>
      <c r="B37" s="61" t="s">
        <v>151</v>
      </c>
      <c r="C37" s="62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108"/>
    </row>
    <row r="38" spans="1:15" s="8" customFormat="1" ht="93.75">
      <c r="A38" s="45" t="s">
        <v>49</v>
      </c>
      <c r="B38" s="32" t="s">
        <v>18</v>
      </c>
      <c r="C38" s="34" t="s">
        <v>152</v>
      </c>
      <c r="D38" s="48">
        <f>F38</f>
        <v>1</v>
      </c>
      <c r="E38" s="48">
        <f>G38</f>
        <v>1</v>
      </c>
      <c r="F38" s="48">
        <f t="shared" si="3"/>
        <v>1</v>
      </c>
      <c r="G38" s="48">
        <f t="shared" si="4"/>
        <v>1</v>
      </c>
      <c r="H38" s="49">
        <f>Данные!F76</f>
        <v>1</v>
      </c>
      <c r="I38" s="49">
        <f>Данные!G76</f>
        <v>1</v>
      </c>
      <c r="J38" s="49">
        <f>Данные!H76</f>
        <v>1</v>
      </c>
      <c r="K38" s="49">
        <f>Данные!I76</f>
        <v>1</v>
      </c>
      <c r="L38" s="49">
        <f>Данные!J76</f>
        <v>1</v>
      </c>
      <c r="M38" s="49">
        <f>Данные!K76</f>
        <v>1</v>
      </c>
      <c r="N38" s="49">
        <f>Данные!L76</f>
        <v>1</v>
      </c>
      <c r="O38" s="49">
        <f>Данные!M76</f>
        <v>1</v>
      </c>
    </row>
    <row r="39" spans="1:15" s="8" customFormat="1" ht="75">
      <c r="A39" s="45" t="s">
        <v>50</v>
      </c>
      <c r="B39" s="32" t="s">
        <v>77</v>
      </c>
      <c r="C39" s="34" t="s">
        <v>153</v>
      </c>
      <c r="D39" s="48">
        <f>F39</f>
        <v>0</v>
      </c>
      <c r="E39" s="48">
        <f aca="true" t="shared" si="5" ref="D39:E44">G39</f>
        <v>1</v>
      </c>
      <c r="F39" s="48">
        <f t="shared" si="3"/>
        <v>0</v>
      </c>
      <c r="G39" s="48">
        <f t="shared" si="4"/>
        <v>1</v>
      </c>
      <c r="H39" s="49">
        <f>Данные!F77</f>
        <v>1</v>
      </c>
      <c r="I39" s="49">
        <f>Данные!G77</f>
        <v>1</v>
      </c>
      <c r="J39" s="49">
        <f>Данные!H77</f>
        <v>0</v>
      </c>
      <c r="K39" s="49">
        <f>Данные!I77</f>
        <v>0</v>
      </c>
      <c r="L39" s="49">
        <f>Данные!J77</f>
        <v>1</v>
      </c>
      <c r="M39" s="49">
        <f>Данные!K77</f>
        <v>1</v>
      </c>
      <c r="N39" s="49">
        <f>Данные!L77</f>
        <v>0</v>
      </c>
      <c r="O39" s="49">
        <f>Данные!M77</f>
        <v>1</v>
      </c>
    </row>
    <row r="40" spans="1:15" s="8" customFormat="1" ht="56.25">
      <c r="A40" s="45" t="s">
        <v>51</v>
      </c>
      <c r="B40" s="32" t="s">
        <v>209</v>
      </c>
      <c r="C40" s="34" t="s">
        <v>210</v>
      </c>
      <c r="D40" s="48">
        <f>F40</f>
        <v>0</v>
      </c>
      <c r="E40" s="48">
        <f t="shared" si="5"/>
        <v>1</v>
      </c>
      <c r="F40" s="48">
        <f t="shared" si="3"/>
        <v>0</v>
      </c>
      <c r="G40" s="48">
        <f t="shared" si="4"/>
        <v>1</v>
      </c>
      <c r="H40" s="49">
        <f>Данные!F78</f>
        <v>1</v>
      </c>
      <c r="I40" s="49">
        <f>Данные!G78</f>
        <v>1</v>
      </c>
      <c r="J40" s="49">
        <f>Данные!H78</f>
        <v>0</v>
      </c>
      <c r="K40" s="49">
        <f>Данные!I78</f>
        <v>1</v>
      </c>
      <c r="L40" s="49">
        <f>Данные!J78</f>
        <v>1</v>
      </c>
      <c r="M40" s="49">
        <f>Данные!K78</f>
        <v>1</v>
      </c>
      <c r="N40" s="49">
        <f>Данные!L78</f>
        <v>1</v>
      </c>
      <c r="O40" s="49">
        <f>Данные!M78</f>
        <v>1</v>
      </c>
    </row>
    <row r="41" spans="1:15" s="8" customFormat="1" ht="112.5">
      <c r="A41" s="45" t="s">
        <v>52</v>
      </c>
      <c r="B41" s="32" t="s">
        <v>2</v>
      </c>
      <c r="C41" s="34" t="s">
        <v>154</v>
      </c>
      <c r="D41" s="48">
        <f>F41</f>
        <v>0</v>
      </c>
      <c r="E41" s="48">
        <f t="shared" si="5"/>
        <v>1</v>
      </c>
      <c r="F41" s="48">
        <f t="shared" si="3"/>
        <v>0</v>
      </c>
      <c r="G41" s="48">
        <f t="shared" si="4"/>
        <v>1</v>
      </c>
      <c r="H41" s="49">
        <f>Данные!F79</f>
        <v>1</v>
      </c>
      <c r="I41" s="49">
        <f>Данные!G79</f>
        <v>1</v>
      </c>
      <c r="J41" s="49">
        <f>Данные!H79</f>
        <v>0</v>
      </c>
      <c r="K41" s="49">
        <f>Данные!I79</f>
        <v>1</v>
      </c>
      <c r="L41" s="49">
        <f>Данные!J79</f>
        <v>1</v>
      </c>
      <c r="M41" s="49">
        <f>Данные!K79</f>
        <v>1</v>
      </c>
      <c r="N41" s="49">
        <f>Данные!L79</f>
        <v>0</v>
      </c>
      <c r="O41" s="49">
        <f>Данные!M79</f>
        <v>1</v>
      </c>
    </row>
    <row r="42" spans="1:15" s="8" customFormat="1" ht="112.5">
      <c r="A42" s="45" t="s">
        <v>53</v>
      </c>
      <c r="B42" s="32" t="s">
        <v>3</v>
      </c>
      <c r="C42" s="34" t="s">
        <v>155</v>
      </c>
      <c r="D42" s="48">
        <f>F42</f>
        <v>0</v>
      </c>
      <c r="E42" s="48">
        <f t="shared" si="5"/>
        <v>1</v>
      </c>
      <c r="F42" s="48">
        <f t="shared" si="3"/>
        <v>0</v>
      </c>
      <c r="G42" s="48">
        <f t="shared" si="4"/>
        <v>1</v>
      </c>
      <c r="H42" s="49">
        <f>Данные!F80</f>
        <v>1</v>
      </c>
      <c r="I42" s="49">
        <f>Данные!G80</f>
        <v>1</v>
      </c>
      <c r="J42" s="49">
        <f>Данные!H80</f>
        <v>1</v>
      </c>
      <c r="K42" s="49">
        <f>Данные!I80</f>
        <v>0</v>
      </c>
      <c r="L42" s="49">
        <f>Данные!J80</f>
        <v>1</v>
      </c>
      <c r="M42" s="49">
        <f>Данные!K80</f>
        <v>1</v>
      </c>
      <c r="N42" s="49">
        <f>Данные!L80</f>
        <v>0</v>
      </c>
      <c r="O42" s="49">
        <f>Данные!M80</f>
        <v>1</v>
      </c>
    </row>
    <row r="43" spans="1:15" s="8" customFormat="1" ht="168.75">
      <c r="A43" s="45" t="s">
        <v>67</v>
      </c>
      <c r="B43" s="32" t="s">
        <v>96</v>
      </c>
      <c r="C43" s="34" t="s">
        <v>156</v>
      </c>
      <c r="D43" s="48">
        <f>F43</f>
        <v>0</v>
      </c>
      <c r="E43" s="48">
        <f>G43</f>
        <v>1</v>
      </c>
      <c r="F43" s="48">
        <f t="shared" si="3"/>
        <v>0</v>
      </c>
      <c r="G43" s="48">
        <f t="shared" si="4"/>
        <v>1</v>
      </c>
      <c r="H43" s="49">
        <f>Данные!F81</f>
        <v>1</v>
      </c>
      <c r="I43" s="49">
        <f>Данные!G81</f>
        <v>1</v>
      </c>
      <c r="J43" s="49">
        <f>Данные!H81</f>
        <v>0</v>
      </c>
      <c r="K43" s="49">
        <f>Данные!I81</f>
        <v>0</v>
      </c>
      <c r="L43" s="49">
        <f>Данные!J81</f>
        <v>1</v>
      </c>
      <c r="M43" s="49">
        <f>Данные!K81</f>
        <v>1</v>
      </c>
      <c r="N43" s="49">
        <f>Данные!L81</f>
        <v>0</v>
      </c>
      <c r="O43" s="49">
        <f>Данные!M81</f>
        <v>1</v>
      </c>
    </row>
    <row r="44" spans="1:15" s="8" customFormat="1" ht="112.5">
      <c r="A44" s="45" t="s">
        <v>68</v>
      </c>
      <c r="B44" s="32" t="s">
        <v>198</v>
      </c>
      <c r="C44" s="34" t="s">
        <v>69</v>
      </c>
      <c r="D44" s="48">
        <f t="shared" si="5"/>
        <v>0</v>
      </c>
      <c r="E44" s="48">
        <f t="shared" si="5"/>
        <v>0</v>
      </c>
      <c r="F44" s="48">
        <f t="shared" si="3"/>
        <v>0</v>
      </c>
      <c r="G44" s="48">
        <f t="shared" si="4"/>
        <v>0</v>
      </c>
      <c r="H44" s="49">
        <f>Данные!F82/12</f>
        <v>0</v>
      </c>
      <c r="I44" s="49">
        <f>Данные!G82/12</f>
        <v>0</v>
      </c>
      <c r="J44" s="49">
        <f>Данные!H82/12</f>
        <v>0</v>
      </c>
      <c r="K44" s="49">
        <f>Данные!I82/12</f>
        <v>0</v>
      </c>
      <c r="L44" s="49">
        <f>Данные!J82/12</f>
        <v>0</v>
      </c>
      <c r="M44" s="49">
        <f>Данные!K82/12</f>
        <v>0</v>
      </c>
      <c r="N44" s="49">
        <f>Данные!L82/12</f>
        <v>0</v>
      </c>
      <c r="O44" s="49">
        <f>Данные!M82/12</f>
        <v>0</v>
      </c>
    </row>
  </sheetData>
  <sheetProtection/>
  <mergeCells count="2">
    <mergeCell ref="B3:N3"/>
    <mergeCell ref="M1:N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/>
  <dimension ref="A1:N90"/>
  <sheetViews>
    <sheetView zoomScale="75" zoomScaleNormal="75" zoomScalePageLayoutView="0" workbookViewId="0" topLeftCell="B1">
      <pane xSplit="4" ySplit="6" topLeftCell="F55" activePane="bottomRight" state="frozen"/>
      <selection pane="topLeft" activeCell="B1" sqref="B1"/>
      <selection pane="topRight" activeCell="F1" sqref="F1"/>
      <selection pane="bottomLeft" activeCell="B7" sqref="B7"/>
      <selection pane="bottomRight" activeCell="B63" sqref="B63"/>
    </sheetView>
  </sheetViews>
  <sheetFormatPr defaultColWidth="9.140625" defaultRowHeight="15"/>
  <cols>
    <col min="1" max="1" width="6.421875" style="8" hidden="1" customWidth="1"/>
    <col min="2" max="2" width="61.421875" style="8" customWidth="1"/>
    <col min="3" max="3" width="12.421875" style="26" customWidth="1"/>
    <col min="4" max="5" width="12.8515625" style="8" customWidth="1"/>
    <col min="6" max="6" width="17.57421875" style="9" customWidth="1"/>
    <col min="7" max="7" width="16.00390625" style="9" customWidth="1"/>
    <col min="8" max="8" width="18.140625" style="9" customWidth="1"/>
    <col min="9" max="9" width="15.8515625" style="9" customWidth="1"/>
    <col min="10" max="10" width="14.140625" style="9" customWidth="1"/>
    <col min="11" max="11" width="14.28125" style="9" bestFit="1" customWidth="1"/>
    <col min="12" max="12" width="14.00390625" style="9" bestFit="1" customWidth="1"/>
    <col min="13" max="13" width="14.8515625" style="16" customWidth="1"/>
    <col min="14" max="14" width="15.421875" style="8" customWidth="1"/>
    <col min="15" max="16384" width="9.140625" style="8" customWidth="1"/>
  </cols>
  <sheetData>
    <row r="1" spans="11:12" ht="18.75">
      <c r="K1" s="177" t="s">
        <v>177</v>
      </c>
      <c r="L1" s="177"/>
    </row>
    <row r="2" spans="2:12" ht="18.75" customHeight="1">
      <c r="B2" s="176" t="s">
        <v>171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2:14" ht="18.75" customHeight="1"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N3" s="10"/>
    </row>
    <row r="4" spans="3:12" ht="18.75">
      <c r="C4" s="11"/>
      <c r="F4" s="11"/>
      <c r="G4" s="11"/>
      <c r="H4" s="11"/>
      <c r="I4" s="11"/>
      <c r="J4" s="11"/>
      <c r="K4" s="11"/>
      <c r="L4" s="11"/>
    </row>
    <row r="5" spans="1:13" s="16" customFormat="1" ht="75">
      <c r="A5" s="12"/>
      <c r="B5" s="13" t="s">
        <v>80</v>
      </c>
      <c r="C5" s="13" t="s">
        <v>174</v>
      </c>
      <c r="D5" s="15" t="s">
        <v>19</v>
      </c>
      <c r="E5" s="15" t="s">
        <v>20</v>
      </c>
      <c r="F5" s="132" t="s">
        <v>168</v>
      </c>
      <c r="G5" s="132" t="s">
        <v>161</v>
      </c>
      <c r="H5" s="132" t="s">
        <v>162</v>
      </c>
      <c r="I5" s="132" t="s">
        <v>163</v>
      </c>
      <c r="J5" s="132" t="s">
        <v>164</v>
      </c>
      <c r="K5" s="132" t="s">
        <v>165</v>
      </c>
      <c r="L5" s="132" t="s">
        <v>166</v>
      </c>
      <c r="M5" s="132" t="s">
        <v>178</v>
      </c>
    </row>
    <row r="6" spans="1:13" s="16" customFormat="1" ht="18.75">
      <c r="A6" s="12"/>
      <c r="B6" s="27" t="s">
        <v>10</v>
      </c>
      <c r="C6" s="13"/>
      <c r="D6" s="27"/>
      <c r="E6" s="27"/>
      <c r="F6" s="15"/>
      <c r="G6" s="15"/>
      <c r="H6" s="15"/>
      <c r="I6" s="15"/>
      <c r="J6" s="15"/>
      <c r="K6" s="15"/>
      <c r="L6" s="15"/>
      <c r="M6" s="109"/>
    </row>
    <row r="7" spans="1:13" ht="42.75" customHeight="1">
      <c r="A7" s="17">
        <v>1</v>
      </c>
      <c r="B7" s="21" t="s">
        <v>1</v>
      </c>
      <c r="C7" s="22" t="s">
        <v>21</v>
      </c>
      <c r="D7" s="23">
        <f>MIN(F7:M7)</f>
        <v>1</v>
      </c>
      <c r="E7" s="23">
        <f>MAX(F7:M7)</f>
        <v>1</v>
      </c>
      <c r="F7" s="138">
        <v>1</v>
      </c>
      <c r="G7" s="138">
        <v>1</v>
      </c>
      <c r="H7" s="138">
        <v>1</v>
      </c>
      <c r="I7" s="138">
        <v>1</v>
      </c>
      <c r="J7" s="138">
        <v>1</v>
      </c>
      <c r="K7" s="138">
        <v>1</v>
      </c>
      <c r="L7" s="138">
        <v>1</v>
      </c>
      <c r="M7" s="139">
        <v>1</v>
      </c>
    </row>
    <row r="8" spans="1:13" ht="59.25" customHeight="1">
      <c r="A8" s="17">
        <v>3</v>
      </c>
      <c r="B8" s="21" t="s">
        <v>109</v>
      </c>
      <c r="C8" s="22" t="s">
        <v>22</v>
      </c>
      <c r="D8" s="23">
        <f>MIN(F8:M8)</f>
        <v>1</v>
      </c>
      <c r="E8" s="23">
        <f>MAX(F8:M8)</f>
        <v>1</v>
      </c>
      <c r="F8" s="140">
        <v>1</v>
      </c>
      <c r="G8" s="140">
        <v>1</v>
      </c>
      <c r="H8" s="140">
        <v>1</v>
      </c>
      <c r="I8" s="140">
        <v>1</v>
      </c>
      <c r="J8" s="140">
        <v>1</v>
      </c>
      <c r="K8" s="140">
        <v>1</v>
      </c>
      <c r="L8" s="140">
        <v>1</v>
      </c>
      <c r="M8" s="139">
        <v>1</v>
      </c>
    </row>
    <row r="9" spans="1:13" ht="87.75" customHeight="1">
      <c r="A9" s="17"/>
      <c r="B9" s="35" t="s">
        <v>138</v>
      </c>
      <c r="C9" s="22" t="s">
        <v>23</v>
      </c>
      <c r="D9" s="36">
        <f>MIN(F9:M9)</f>
        <v>0.012154572006290804</v>
      </c>
      <c r="E9" s="36">
        <f>MAX(F9:M9)</f>
        <v>1.102103861517976</v>
      </c>
      <c r="F9" s="155">
        <f>ABS(Данные!F12+Данные!F13-Данные!F10-Данные!F11)/(Данные!F10+Данные!F11)</f>
        <v>0.6306449941525664</v>
      </c>
      <c r="G9" s="155">
        <f>ABS(Данные!G12+Данные!G13-Данные!G10-Данные!G11)/(Данные!G10+Данные!G11)</f>
        <v>0.3068974385351302</v>
      </c>
      <c r="H9" s="155">
        <f>ABS(Данные!H12+Данные!H13-Данные!H10-Данные!H11)/(Данные!H10+Данные!H11)</f>
        <v>0.07268170426065163</v>
      </c>
      <c r="I9" s="155">
        <f>ABS(Данные!I12+Данные!I13-Данные!I10-Данные!I11)/(Данные!I10+Данные!I11)</f>
        <v>0.5033726812816189</v>
      </c>
      <c r="J9" s="155">
        <f>ABS(Данные!J12+Данные!J13-Данные!J10-Данные!J11)/(Данные!J10+Данные!J11)</f>
        <v>0.21235521235521235</v>
      </c>
      <c r="K9" s="155">
        <f>ABS(Данные!K12+Данные!K13-Данные!K10-Данные!K11)/(Данные!K10+Данные!K11)</f>
        <v>0.7789997158283604</v>
      </c>
      <c r="L9" s="155">
        <f>ABS(Данные!L12+Данные!L13-Данные!L10-Данные!L11)/(Данные!L10+Данные!L11)</f>
        <v>0.012154572006290804</v>
      </c>
      <c r="M9" s="162">
        <f>ABS(Данные!M12+Данные!M13-Данные!M10-Данные!M11)/(Данные!M10+Данные!M11)</f>
        <v>1.102103861517976</v>
      </c>
    </row>
    <row r="10" spans="1:13" ht="78.75" customHeight="1">
      <c r="A10" s="17">
        <v>7</v>
      </c>
      <c r="B10" s="18" t="s">
        <v>110</v>
      </c>
      <c r="C10" s="19" t="s">
        <v>23</v>
      </c>
      <c r="D10" s="20"/>
      <c r="E10" s="20"/>
      <c r="F10" s="145">
        <v>57609</v>
      </c>
      <c r="G10" s="145">
        <v>15400</v>
      </c>
      <c r="H10" s="145">
        <v>1142</v>
      </c>
      <c r="I10" s="145">
        <v>793</v>
      </c>
      <c r="J10" s="145">
        <v>716</v>
      </c>
      <c r="K10" s="156">
        <v>3010</v>
      </c>
      <c r="L10" s="145">
        <v>3161</v>
      </c>
      <c r="M10" s="153">
        <v>1845</v>
      </c>
    </row>
    <row r="11" spans="1:13" ht="81.75" customHeight="1">
      <c r="A11" s="17">
        <v>8</v>
      </c>
      <c r="B11" s="18" t="s">
        <v>111</v>
      </c>
      <c r="C11" s="19" t="s">
        <v>23</v>
      </c>
      <c r="D11" s="20"/>
      <c r="E11" s="20"/>
      <c r="F11" s="141">
        <v>9942</v>
      </c>
      <c r="G11" s="141">
        <v>4042</v>
      </c>
      <c r="H11" s="141">
        <v>55</v>
      </c>
      <c r="I11" s="141">
        <v>393</v>
      </c>
      <c r="J11" s="141">
        <v>320</v>
      </c>
      <c r="K11" s="157">
        <v>509</v>
      </c>
      <c r="L11" s="141">
        <v>1290</v>
      </c>
      <c r="M11" s="154">
        <v>1910</v>
      </c>
    </row>
    <row r="12" spans="1:13" ht="56.25">
      <c r="A12" s="17">
        <v>11</v>
      </c>
      <c r="B12" s="18" t="s">
        <v>112</v>
      </c>
      <c r="C12" s="19" t="s">
        <v>23</v>
      </c>
      <c r="D12" s="20"/>
      <c r="E12" s="20"/>
      <c r="F12" s="141">
        <v>60859.4</v>
      </c>
      <c r="G12" s="141">
        <v>15346.6</v>
      </c>
      <c r="H12" s="141">
        <v>1077.1</v>
      </c>
      <c r="I12" s="141">
        <v>839.2</v>
      </c>
      <c r="J12" s="141">
        <v>816.5</v>
      </c>
      <c r="K12" s="157">
        <v>3704.9</v>
      </c>
      <c r="L12" s="157">
        <v>3356.8</v>
      </c>
      <c r="M12" s="154">
        <v>1764.2</v>
      </c>
    </row>
    <row r="13" spans="1:13" ht="56.25">
      <c r="A13" s="17">
        <v>12</v>
      </c>
      <c r="B13" s="18" t="s">
        <v>113</v>
      </c>
      <c r="C13" s="19" t="s">
        <v>23</v>
      </c>
      <c r="D13" s="20"/>
      <c r="E13" s="20"/>
      <c r="F13" s="141">
        <v>49292.3</v>
      </c>
      <c r="G13" s="141">
        <v>10062.1</v>
      </c>
      <c r="H13" s="141">
        <v>32.9</v>
      </c>
      <c r="I13" s="141">
        <v>943.8</v>
      </c>
      <c r="J13" s="141">
        <v>439.5</v>
      </c>
      <c r="K13" s="157">
        <v>2555.4</v>
      </c>
      <c r="L13" s="157">
        <v>1040.1</v>
      </c>
      <c r="M13" s="154">
        <v>6129.2</v>
      </c>
    </row>
    <row r="14" spans="1:13" ht="141.75" customHeight="1">
      <c r="A14" s="17">
        <v>2</v>
      </c>
      <c r="B14" s="21" t="s">
        <v>114</v>
      </c>
      <c r="C14" s="22" t="s">
        <v>24</v>
      </c>
      <c r="D14" s="23">
        <f>MIN(F14:M14)</f>
        <v>0</v>
      </c>
      <c r="E14" s="23">
        <f>MAX(F14:M14)</f>
        <v>1</v>
      </c>
      <c r="F14" s="138">
        <v>1</v>
      </c>
      <c r="G14" s="138">
        <v>1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40">
        <v>1</v>
      </c>
    </row>
    <row r="15" spans="1:13" ht="138.75" customHeight="1">
      <c r="A15" s="17">
        <v>4</v>
      </c>
      <c r="B15" s="21" t="s">
        <v>211</v>
      </c>
      <c r="C15" s="22" t="s">
        <v>25</v>
      </c>
      <c r="D15" s="23">
        <f>MIN(F15:M15)</f>
        <v>73.25242530941499</v>
      </c>
      <c r="E15" s="23">
        <f>MAX(F15:M15)</f>
        <v>100.00283256028042</v>
      </c>
      <c r="F15" s="143">
        <f aca="true" t="shared" si="0" ref="F15:M15">F16/(F84-F17)*100</f>
        <v>73.25242530941499</v>
      </c>
      <c r="G15" s="143">
        <f t="shared" si="0"/>
        <v>99.98968422196262</v>
      </c>
      <c r="H15" s="143">
        <f t="shared" si="0"/>
        <v>99.82061280051681</v>
      </c>
      <c r="I15" s="143">
        <f t="shared" si="0"/>
        <v>100</v>
      </c>
      <c r="J15" s="143">
        <f t="shared" si="0"/>
        <v>96.55651633777511</v>
      </c>
      <c r="K15" s="143">
        <f t="shared" si="0"/>
        <v>98.41604544453892</v>
      </c>
      <c r="L15" s="143">
        <f t="shared" si="0"/>
        <v>100</v>
      </c>
      <c r="M15" s="144">
        <f t="shared" si="0"/>
        <v>100.00283256028042</v>
      </c>
    </row>
    <row r="16" spans="1:13" ht="80.25" customHeight="1">
      <c r="A16" s="17"/>
      <c r="B16" s="18" t="s">
        <v>212</v>
      </c>
      <c r="C16" s="19" t="s">
        <v>25</v>
      </c>
      <c r="D16" s="20"/>
      <c r="E16" s="20"/>
      <c r="F16" s="141">
        <v>144130.3</v>
      </c>
      <c r="G16" s="141">
        <f>185023.3-2797</f>
        <v>182226.3</v>
      </c>
      <c r="H16" s="141">
        <f>86692.5-164</f>
        <v>86528.5</v>
      </c>
      <c r="I16" s="141">
        <f>62723.7-213.9</f>
        <v>62509.799999999996</v>
      </c>
      <c r="J16" s="141">
        <v>49121.1</v>
      </c>
      <c r="K16" s="141">
        <f>137252.4-453.9</f>
        <v>136798.5</v>
      </c>
      <c r="L16" s="141">
        <f>104180.1-738.8</f>
        <v>103441.3</v>
      </c>
      <c r="M16" s="142">
        <f>71417.2-807.7</f>
        <v>70609.5</v>
      </c>
    </row>
    <row r="17" spans="1:13" ht="87.75" customHeight="1">
      <c r="A17" s="17"/>
      <c r="B17" s="18" t="s">
        <v>199</v>
      </c>
      <c r="C17" s="19" t="s">
        <v>25</v>
      </c>
      <c r="D17" s="20"/>
      <c r="E17" s="20"/>
      <c r="F17" s="141">
        <v>2171.6</v>
      </c>
      <c r="G17" s="141">
        <v>2797</v>
      </c>
      <c r="H17" s="141">
        <v>164</v>
      </c>
      <c r="I17" s="141">
        <v>213.9</v>
      </c>
      <c r="J17" s="141">
        <v>164.6</v>
      </c>
      <c r="K17" s="141">
        <v>453.9</v>
      </c>
      <c r="L17" s="141">
        <v>738.8</v>
      </c>
      <c r="M17" s="142">
        <v>809.7</v>
      </c>
    </row>
    <row r="18" spans="1:13" ht="75">
      <c r="A18" s="17">
        <v>5</v>
      </c>
      <c r="B18" s="21" t="s">
        <v>200</v>
      </c>
      <c r="C18" s="22" t="s">
        <v>26</v>
      </c>
      <c r="D18" s="23">
        <f>MIN(F18:M18)</f>
        <v>1</v>
      </c>
      <c r="E18" s="23">
        <f>MAX(F18:M18)</f>
        <v>1</v>
      </c>
      <c r="F18" s="138">
        <v>1</v>
      </c>
      <c r="G18" s="138">
        <v>1</v>
      </c>
      <c r="H18" s="138">
        <v>1</v>
      </c>
      <c r="I18" s="138">
        <v>1</v>
      </c>
      <c r="J18" s="138">
        <v>1</v>
      </c>
      <c r="K18" s="138">
        <v>1</v>
      </c>
      <c r="L18" s="138">
        <v>1</v>
      </c>
      <c r="M18" s="139">
        <v>1</v>
      </c>
    </row>
    <row r="19" spans="1:13" ht="18.75">
      <c r="A19" s="17"/>
      <c r="B19" s="31" t="s">
        <v>12</v>
      </c>
      <c r="C19" s="19"/>
      <c r="D19" s="20"/>
      <c r="E19" s="20"/>
      <c r="F19" s="119"/>
      <c r="G19" s="119"/>
      <c r="H19" s="119"/>
      <c r="I19" s="119"/>
      <c r="J19" s="119"/>
      <c r="K19" s="119"/>
      <c r="L19" s="119"/>
      <c r="M19" s="134"/>
    </row>
    <row r="20" spans="1:13" ht="75">
      <c r="A20" s="17">
        <v>6</v>
      </c>
      <c r="B20" s="21" t="s">
        <v>70</v>
      </c>
      <c r="C20" s="22" t="s">
        <v>30</v>
      </c>
      <c r="D20" s="23">
        <f>MIN(F20:M20)</f>
        <v>1</v>
      </c>
      <c r="E20" s="23">
        <f>MAX(F20:M20)</f>
        <v>4</v>
      </c>
      <c r="F20" s="138">
        <v>4</v>
      </c>
      <c r="G20" s="138">
        <v>4</v>
      </c>
      <c r="H20" s="138">
        <v>1</v>
      </c>
      <c r="I20" s="138">
        <v>2</v>
      </c>
      <c r="J20" s="138">
        <v>4</v>
      </c>
      <c r="K20" s="138">
        <v>3</v>
      </c>
      <c r="L20" s="138">
        <v>4</v>
      </c>
      <c r="M20" s="139">
        <v>3</v>
      </c>
    </row>
    <row r="21" spans="1:13" ht="98.25" customHeight="1">
      <c r="A21" s="17">
        <v>13</v>
      </c>
      <c r="B21" s="21" t="s">
        <v>84</v>
      </c>
      <c r="C21" s="22" t="s">
        <v>31</v>
      </c>
      <c r="D21" s="23">
        <f>MIN(F21:M21)</f>
        <v>94.56840207347308</v>
      </c>
      <c r="E21" s="23">
        <f>MAX(F21:M21)</f>
        <v>118.99913275302734</v>
      </c>
      <c r="F21" s="143">
        <f>F22/F23*100</f>
        <v>110.54732910950942</v>
      </c>
      <c r="G21" s="143">
        <f aca="true" t="shared" si="1" ref="G21:M21">G22/G23*100</f>
        <v>96.79832473413985</v>
      </c>
      <c r="H21" s="143">
        <f t="shared" si="1"/>
        <v>99.67610586711086</v>
      </c>
      <c r="I21" s="143">
        <f t="shared" si="1"/>
        <v>94.56840207347308</v>
      </c>
      <c r="J21" s="143">
        <f t="shared" si="1"/>
        <v>103.19767441860463</v>
      </c>
      <c r="K21" s="143">
        <f t="shared" si="1"/>
        <v>118.99913275302734</v>
      </c>
      <c r="L21" s="143">
        <f t="shared" si="1"/>
        <v>104.8508511635171</v>
      </c>
      <c r="M21" s="144">
        <f t="shared" si="1"/>
        <v>98.65786824739962</v>
      </c>
    </row>
    <row r="22" spans="1:13" ht="93.75">
      <c r="A22" s="17"/>
      <c r="B22" s="18" t="s">
        <v>115</v>
      </c>
      <c r="C22" s="19" t="s">
        <v>31</v>
      </c>
      <c r="D22" s="20"/>
      <c r="E22" s="20"/>
      <c r="F22" s="141">
        <v>60859.4</v>
      </c>
      <c r="G22" s="141">
        <v>15346.6</v>
      </c>
      <c r="H22" s="141">
        <v>1077.1</v>
      </c>
      <c r="I22" s="141">
        <v>839.2</v>
      </c>
      <c r="J22" s="141">
        <v>816.5</v>
      </c>
      <c r="K22" s="158">
        <v>3704.8</v>
      </c>
      <c r="L22" s="158">
        <v>3356.8</v>
      </c>
      <c r="M22" s="141">
        <v>1764.2</v>
      </c>
    </row>
    <row r="23" spans="1:13" ht="112.5">
      <c r="A23" s="17"/>
      <c r="B23" s="18" t="s">
        <v>116</v>
      </c>
      <c r="C23" s="19" t="s">
        <v>31</v>
      </c>
      <c r="D23" s="20"/>
      <c r="E23" s="20"/>
      <c r="F23" s="141">
        <v>55052.8</v>
      </c>
      <c r="G23" s="141">
        <v>15854.2</v>
      </c>
      <c r="H23" s="141">
        <v>1080.6</v>
      </c>
      <c r="I23" s="141">
        <v>887.4</v>
      </c>
      <c r="J23" s="141">
        <v>791.2</v>
      </c>
      <c r="K23" s="157">
        <v>3113.3</v>
      </c>
      <c r="L23" s="157">
        <v>3201.5</v>
      </c>
      <c r="M23" s="141">
        <v>1788.2</v>
      </c>
    </row>
    <row r="24" spans="1:13" ht="75">
      <c r="A24" s="17">
        <v>14</v>
      </c>
      <c r="B24" s="21" t="s">
        <v>86</v>
      </c>
      <c r="C24" s="22" t="s">
        <v>32</v>
      </c>
      <c r="D24" s="23">
        <f>MIN(F24:M24)</f>
        <v>6.197023921642494</v>
      </c>
      <c r="E24" s="23">
        <f>MAX(F24:M24)</f>
        <v>391.7522612294957</v>
      </c>
      <c r="F24" s="143">
        <f>F25/F26*100</f>
        <v>298.9278155454617</v>
      </c>
      <c r="G24" s="143">
        <f aca="true" t="shared" si="2" ref="G24:M24">G25/G26*100</f>
        <v>113.7808987493498</v>
      </c>
      <c r="H24" s="143">
        <f t="shared" si="2"/>
        <v>6.197023921642494</v>
      </c>
      <c r="I24" s="143">
        <f t="shared" si="2"/>
        <v>153.53831137140065</v>
      </c>
      <c r="J24" s="143">
        <f t="shared" si="2"/>
        <v>141.86571981923822</v>
      </c>
      <c r="K24" s="143">
        <f t="shared" si="2"/>
        <v>391.7522612294957</v>
      </c>
      <c r="L24" s="143">
        <f t="shared" si="2"/>
        <v>73.2258518727119</v>
      </c>
      <c r="M24" s="144">
        <f t="shared" si="2"/>
        <v>104.73326270462391</v>
      </c>
    </row>
    <row r="25" spans="1:13" ht="56.25">
      <c r="A25" s="17"/>
      <c r="B25" s="18" t="s">
        <v>113</v>
      </c>
      <c r="C25" s="19" t="s">
        <v>32</v>
      </c>
      <c r="D25" s="20"/>
      <c r="E25" s="20"/>
      <c r="F25" s="141">
        <v>49292.3</v>
      </c>
      <c r="G25" s="141">
        <v>10062.1</v>
      </c>
      <c r="H25" s="141">
        <v>32.9</v>
      </c>
      <c r="I25" s="141">
        <v>943.8</v>
      </c>
      <c r="J25" s="141">
        <v>439.5</v>
      </c>
      <c r="K25" s="157">
        <v>2555.4</v>
      </c>
      <c r="L25" s="147">
        <v>1040.1</v>
      </c>
      <c r="M25" s="141">
        <v>6129.2</v>
      </c>
    </row>
    <row r="26" spans="1:13" ht="75">
      <c r="A26" s="17"/>
      <c r="B26" s="18" t="s">
        <v>117</v>
      </c>
      <c r="C26" s="19" t="s">
        <v>32</v>
      </c>
      <c r="D26" s="20"/>
      <c r="E26" s="20"/>
      <c r="F26" s="141">
        <v>16489.7</v>
      </c>
      <c r="G26" s="141">
        <v>8843.4</v>
      </c>
      <c r="H26" s="141">
        <v>530.9</v>
      </c>
      <c r="I26" s="141">
        <v>614.7</v>
      </c>
      <c r="J26" s="141">
        <v>309.8</v>
      </c>
      <c r="K26" s="157">
        <v>652.3</v>
      </c>
      <c r="L26" s="147">
        <v>1420.4</v>
      </c>
      <c r="M26" s="141">
        <v>5852.2</v>
      </c>
    </row>
    <row r="27" spans="1:13" ht="75">
      <c r="A27" s="17">
        <v>15</v>
      </c>
      <c r="B27" s="21" t="s">
        <v>182</v>
      </c>
      <c r="C27" s="22" t="s">
        <v>33</v>
      </c>
      <c r="D27" s="36">
        <f>MIN(F27:M27)</f>
        <v>0</v>
      </c>
      <c r="E27" s="36">
        <f>MAX(F27:M27)</f>
        <v>0</v>
      </c>
      <c r="F27" s="138">
        <f aca="true" t="shared" si="3" ref="F27:M27">F28/F84*100</f>
        <v>0</v>
      </c>
      <c r="G27" s="138">
        <f t="shared" si="3"/>
        <v>0</v>
      </c>
      <c r="H27" s="138">
        <f t="shared" si="3"/>
        <v>0</v>
      </c>
      <c r="I27" s="138">
        <f t="shared" si="3"/>
        <v>0</v>
      </c>
      <c r="J27" s="138">
        <f t="shared" si="3"/>
        <v>0</v>
      </c>
      <c r="K27" s="138">
        <f t="shared" si="3"/>
        <v>0</v>
      </c>
      <c r="L27" s="138">
        <f t="shared" si="3"/>
        <v>0</v>
      </c>
      <c r="M27" s="138">
        <f t="shared" si="3"/>
        <v>0</v>
      </c>
    </row>
    <row r="28" spans="1:13" ht="37.5" hidden="1">
      <c r="A28" s="17"/>
      <c r="B28" s="116" t="s">
        <v>118</v>
      </c>
      <c r="C28" s="117" t="s">
        <v>33</v>
      </c>
      <c r="D28" s="20"/>
      <c r="E28" s="20"/>
      <c r="F28" s="135"/>
      <c r="G28" s="119"/>
      <c r="H28" s="119"/>
      <c r="I28" s="119"/>
      <c r="J28" s="119"/>
      <c r="K28" s="119"/>
      <c r="L28" s="119"/>
      <c r="M28" s="120"/>
    </row>
    <row r="29" spans="1:13" ht="139.5" customHeight="1">
      <c r="A29" s="17"/>
      <c r="B29" s="37" t="s">
        <v>88</v>
      </c>
      <c r="C29" s="22" t="s">
        <v>34</v>
      </c>
      <c r="D29" s="36">
        <f>MIN(F29:M29)</f>
        <v>0.7168382786478771</v>
      </c>
      <c r="E29" s="36">
        <f>MAX(F29:M29)</f>
        <v>2.423192863098153</v>
      </c>
      <c r="F29" s="143">
        <f>_xlfn.IFERROR(Данные!F39/AVERAGE(Данные!F30,Данные!F33,Данные!F36),0)</f>
        <v>2.423192863098153</v>
      </c>
      <c r="G29" s="143">
        <f>_xlfn.IFERROR(Данные!G39/AVERAGE(Данные!G30,Данные!G33,Данные!G36),0)</f>
        <v>1.8999843596786896</v>
      </c>
      <c r="H29" s="143">
        <f>_xlfn.IFERROR(Данные!H39/AVERAGE(Данные!H30,Данные!H33,Данные!H36),0)</f>
        <v>1.273782818282098</v>
      </c>
      <c r="I29" s="143">
        <f>_xlfn.IFERROR(Данные!I39/AVERAGE(Данные!I30,Данные!I33,Данные!I36),0)</f>
        <v>1.0349743671053329</v>
      </c>
      <c r="J29" s="143">
        <f>_xlfn.IFERROR(Данные!J39/AVERAGE(Данные!J30,Данные!J33,Данные!J36),0)</f>
        <v>1.1204137097991844</v>
      </c>
      <c r="K29" s="143">
        <f>_xlfn.IFERROR(Данные!K39/AVERAGE(Данные!K30,Данные!K33,Данные!K36),0)</f>
        <v>1.4424168422182562</v>
      </c>
      <c r="L29" s="143">
        <f>_xlfn.IFERROR(Данные!L39/AVERAGE(Данные!L30,Данные!L33,Данные!L36),0)</f>
        <v>0.7168382786478771</v>
      </c>
      <c r="M29" s="144">
        <f>_xlfn.IFERROR(Данные!M39/AVERAGE(Данные!M30,Данные!M33,Данные!M36),0)</f>
        <v>1.1361143222569299</v>
      </c>
    </row>
    <row r="30" spans="1:13" s="84" customFormat="1" ht="138" customHeight="1">
      <c r="A30" s="17">
        <v>16</v>
      </c>
      <c r="B30" s="18" t="s">
        <v>119</v>
      </c>
      <c r="C30" s="19" t="s">
        <v>34</v>
      </c>
      <c r="D30" s="146"/>
      <c r="E30" s="146"/>
      <c r="F30" s="141">
        <f aca="true" t="shared" si="4" ref="F30:M30">F31-F32</f>
        <v>26666.8</v>
      </c>
      <c r="G30" s="141">
        <f t="shared" si="4"/>
        <v>31490.6</v>
      </c>
      <c r="H30" s="141">
        <f t="shared" si="4"/>
        <v>11224.2</v>
      </c>
      <c r="I30" s="141">
        <f t="shared" si="4"/>
        <v>18286.1</v>
      </c>
      <c r="J30" s="141">
        <f t="shared" si="4"/>
        <v>10609.4</v>
      </c>
      <c r="K30" s="141">
        <f t="shared" si="4"/>
        <v>27331.7</v>
      </c>
      <c r="L30" s="141">
        <f t="shared" si="4"/>
        <v>29465.9</v>
      </c>
      <c r="M30" s="147">
        <f t="shared" si="4"/>
        <v>14600.3</v>
      </c>
    </row>
    <row r="31" spans="1:13" s="84" customFormat="1" ht="59.25" customHeight="1">
      <c r="A31" s="17"/>
      <c r="B31" s="18" t="s">
        <v>120</v>
      </c>
      <c r="C31" s="19" t="s">
        <v>34</v>
      </c>
      <c r="D31" s="146"/>
      <c r="E31" s="146"/>
      <c r="F31" s="147">
        <v>27260.8</v>
      </c>
      <c r="G31" s="141">
        <v>32851.7</v>
      </c>
      <c r="H31" s="141">
        <v>11636.2</v>
      </c>
      <c r="I31" s="141">
        <v>18592.5</v>
      </c>
      <c r="J31" s="141">
        <v>10815.4</v>
      </c>
      <c r="K31" s="141">
        <v>28654</v>
      </c>
      <c r="L31" s="141">
        <v>30503.7</v>
      </c>
      <c r="M31" s="142">
        <v>14679.5</v>
      </c>
    </row>
    <row r="32" spans="1:13" ht="117.75" customHeight="1">
      <c r="A32" s="17"/>
      <c r="B32" s="18" t="s">
        <v>121</v>
      </c>
      <c r="C32" s="19" t="s">
        <v>34</v>
      </c>
      <c r="D32" s="20"/>
      <c r="E32" s="20"/>
      <c r="F32" s="147">
        <v>594</v>
      </c>
      <c r="G32" s="141">
        <v>1361.1</v>
      </c>
      <c r="H32" s="141">
        <v>412</v>
      </c>
      <c r="I32" s="141">
        <v>306.4</v>
      </c>
      <c r="J32" s="141">
        <v>206</v>
      </c>
      <c r="K32" s="141">
        <v>1322.3</v>
      </c>
      <c r="L32" s="141">
        <v>1037.8</v>
      </c>
      <c r="M32" s="142">
        <v>79.2</v>
      </c>
    </row>
    <row r="33" spans="1:13" s="84" customFormat="1" ht="135" customHeight="1">
      <c r="A33" s="17">
        <v>17</v>
      </c>
      <c r="B33" s="18" t="s">
        <v>122</v>
      </c>
      <c r="C33" s="19" t="s">
        <v>34</v>
      </c>
      <c r="D33" s="146"/>
      <c r="E33" s="146"/>
      <c r="F33" s="147">
        <f>F34-F35</f>
        <v>33350.9</v>
      </c>
      <c r="G33" s="147">
        <f aca="true" t="shared" si="5" ref="G33:M33">G34-G35</f>
        <v>30188.5</v>
      </c>
      <c r="H33" s="147">
        <f t="shared" si="5"/>
        <v>28007.5</v>
      </c>
      <c r="I33" s="147">
        <f t="shared" si="5"/>
        <v>11122.6</v>
      </c>
      <c r="J33" s="147">
        <f t="shared" si="5"/>
        <v>11037.400000000001</v>
      </c>
      <c r="K33" s="147">
        <f t="shared" si="5"/>
        <v>25615.4</v>
      </c>
      <c r="L33" s="147">
        <f t="shared" si="5"/>
        <v>25321.2</v>
      </c>
      <c r="M33" s="147">
        <f t="shared" si="5"/>
        <v>16184.6</v>
      </c>
    </row>
    <row r="34" spans="1:13" s="84" customFormat="1" ht="56.25">
      <c r="A34" s="17"/>
      <c r="B34" s="18" t="s">
        <v>123</v>
      </c>
      <c r="C34" s="19" t="s">
        <v>34</v>
      </c>
      <c r="D34" s="146"/>
      <c r="E34" s="146"/>
      <c r="F34" s="147">
        <v>34895.5</v>
      </c>
      <c r="G34" s="141">
        <v>32890.5</v>
      </c>
      <c r="H34" s="141">
        <v>30291.1</v>
      </c>
      <c r="I34" s="141">
        <v>12432.1</v>
      </c>
      <c r="J34" s="141">
        <v>12391.7</v>
      </c>
      <c r="K34" s="141">
        <v>35646.8</v>
      </c>
      <c r="L34" s="141">
        <v>27320.4</v>
      </c>
      <c r="M34" s="142">
        <v>18427</v>
      </c>
    </row>
    <row r="35" spans="1:13" ht="112.5">
      <c r="A35" s="17"/>
      <c r="B35" s="18" t="s">
        <v>124</v>
      </c>
      <c r="C35" s="19" t="s">
        <v>34</v>
      </c>
      <c r="D35" s="20"/>
      <c r="E35" s="20"/>
      <c r="F35" s="147">
        <v>1544.6</v>
      </c>
      <c r="G35" s="141">
        <v>2702</v>
      </c>
      <c r="H35" s="141">
        <v>2283.6</v>
      </c>
      <c r="I35" s="141">
        <v>1309.5</v>
      </c>
      <c r="J35" s="141">
        <v>1354.3</v>
      </c>
      <c r="K35" s="141">
        <v>10031.4</v>
      </c>
      <c r="L35" s="141">
        <v>1999.2</v>
      </c>
      <c r="M35" s="142">
        <v>2242.4</v>
      </c>
    </row>
    <row r="36" spans="1:13" s="84" customFormat="1" ht="133.5" customHeight="1">
      <c r="A36" s="17">
        <v>18</v>
      </c>
      <c r="B36" s="18" t="s">
        <v>125</v>
      </c>
      <c r="C36" s="19" t="s">
        <v>34</v>
      </c>
      <c r="D36" s="146"/>
      <c r="E36" s="146"/>
      <c r="F36" s="147">
        <f>F37-F38</f>
        <v>46370.2</v>
      </c>
      <c r="G36" s="147">
        <f aca="true" t="shared" si="6" ref="G36:M36">G37-G38</f>
        <v>45096.200000000004</v>
      </c>
      <c r="H36" s="147">
        <f t="shared" si="6"/>
        <v>20056.9</v>
      </c>
      <c r="I36" s="147">
        <f t="shared" si="6"/>
        <v>16001.699999999999</v>
      </c>
      <c r="J36" s="147">
        <f t="shared" si="6"/>
        <v>14117.4</v>
      </c>
      <c r="K36" s="147">
        <f t="shared" si="6"/>
        <v>29032.6</v>
      </c>
      <c r="L36" s="147">
        <f t="shared" si="6"/>
        <v>22043.2</v>
      </c>
      <c r="M36" s="147">
        <f t="shared" si="6"/>
        <v>18003.5</v>
      </c>
    </row>
    <row r="37" spans="1:13" s="84" customFormat="1" ht="56.25">
      <c r="A37" s="17"/>
      <c r="B37" s="18" t="s">
        <v>126</v>
      </c>
      <c r="C37" s="19" t="s">
        <v>34</v>
      </c>
      <c r="D37" s="146"/>
      <c r="E37" s="146"/>
      <c r="F37" s="147">
        <v>47836.2</v>
      </c>
      <c r="G37" s="141">
        <v>45846.8</v>
      </c>
      <c r="H37" s="141">
        <v>19321.9</v>
      </c>
      <c r="I37" s="141">
        <v>15581.8</v>
      </c>
      <c r="J37" s="141">
        <v>13827.6</v>
      </c>
      <c r="K37" s="141">
        <v>28969.1</v>
      </c>
      <c r="L37" s="141">
        <v>25237.5</v>
      </c>
      <c r="M37" s="142">
        <v>17895.6</v>
      </c>
    </row>
    <row r="38" spans="1:13" ht="112.5">
      <c r="A38" s="17"/>
      <c r="B38" s="18" t="s">
        <v>127</v>
      </c>
      <c r="C38" s="19" t="s">
        <v>34</v>
      </c>
      <c r="D38" s="20"/>
      <c r="E38" s="20"/>
      <c r="F38" s="147">
        <v>1466</v>
      </c>
      <c r="G38" s="141">
        <v>750.6</v>
      </c>
      <c r="H38" s="141">
        <v>-735</v>
      </c>
      <c r="I38" s="141">
        <v>-419.9</v>
      </c>
      <c r="J38" s="141">
        <v>-289.8</v>
      </c>
      <c r="K38" s="141">
        <v>-63.5</v>
      </c>
      <c r="L38" s="141">
        <v>3194.3</v>
      </c>
      <c r="M38" s="142">
        <v>-107.9</v>
      </c>
    </row>
    <row r="39" spans="1:13" s="84" customFormat="1" ht="131.25">
      <c r="A39" s="17">
        <v>19</v>
      </c>
      <c r="B39" s="18" t="s">
        <v>128</v>
      </c>
      <c r="C39" s="19" t="s">
        <v>34</v>
      </c>
      <c r="D39" s="146"/>
      <c r="E39" s="146"/>
      <c r="F39" s="147">
        <f>F40-F41</f>
        <v>85932.8</v>
      </c>
      <c r="G39" s="147">
        <f aca="true" t="shared" si="7" ref="G39:M39">G40-G41</f>
        <v>67623.8</v>
      </c>
      <c r="H39" s="147">
        <f>H40-H41</f>
        <v>25173.6</v>
      </c>
      <c r="I39" s="147">
        <f t="shared" si="7"/>
        <v>15666.199999999999</v>
      </c>
      <c r="J39" s="147">
        <f t="shared" si="7"/>
        <v>13356.9</v>
      </c>
      <c r="K39" s="147">
        <f t="shared" si="7"/>
        <v>39416.299999999996</v>
      </c>
      <c r="L39" s="147">
        <f t="shared" si="7"/>
        <v>18358.3</v>
      </c>
      <c r="M39" s="147">
        <f t="shared" si="7"/>
        <v>18476.4</v>
      </c>
    </row>
    <row r="40" spans="1:13" s="84" customFormat="1" ht="63" customHeight="1">
      <c r="A40" s="17"/>
      <c r="B40" s="18" t="s">
        <v>129</v>
      </c>
      <c r="C40" s="19" t="s">
        <v>34</v>
      </c>
      <c r="D40" s="146"/>
      <c r="E40" s="146"/>
      <c r="F40" s="147">
        <v>88937</v>
      </c>
      <c r="G40" s="141">
        <v>73453.1</v>
      </c>
      <c r="H40" s="141">
        <v>25598.8</v>
      </c>
      <c r="I40" s="141">
        <v>16117.3</v>
      </c>
      <c r="J40" s="141">
        <v>14002.8</v>
      </c>
      <c r="K40" s="141">
        <v>46184.2</v>
      </c>
      <c r="L40" s="141">
        <v>21118.5</v>
      </c>
      <c r="M40" s="142">
        <v>20415.2</v>
      </c>
    </row>
    <row r="41" spans="1:13" ht="116.25" customHeight="1">
      <c r="A41" s="17"/>
      <c r="B41" s="18" t="s">
        <v>130</v>
      </c>
      <c r="C41" s="19" t="s">
        <v>34</v>
      </c>
      <c r="D41" s="20"/>
      <c r="E41" s="20"/>
      <c r="F41" s="147">
        <v>3004.2</v>
      </c>
      <c r="G41" s="141">
        <v>5829.3</v>
      </c>
      <c r="H41" s="141">
        <v>425.2</v>
      </c>
      <c r="I41" s="141">
        <v>451.1</v>
      </c>
      <c r="J41" s="141">
        <v>645.9</v>
      </c>
      <c r="K41" s="141">
        <v>6767.9</v>
      </c>
      <c r="L41" s="141">
        <v>2760.2</v>
      </c>
      <c r="M41" s="142">
        <v>1938.8</v>
      </c>
    </row>
    <row r="42" spans="1:13" s="84" customFormat="1" ht="150">
      <c r="A42" s="17">
        <v>20</v>
      </c>
      <c r="B42" s="21" t="s">
        <v>90</v>
      </c>
      <c r="C42" s="22" t="s">
        <v>35</v>
      </c>
      <c r="D42" s="143">
        <f>MIN(F42:M42)</f>
        <v>0.021058161162217866</v>
      </c>
      <c r="E42" s="143">
        <f>MAX(F42:M42)</f>
        <v>0.11241476586202916</v>
      </c>
      <c r="F42" s="143">
        <f>F43/F84</f>
        <v>0.021058161162217866</v>
      </c>
      <c r="G42" s="143">
        <f aca="true" t="shared" si="8" ref="G42:M42">G43/G84</f>
        <v>0.03871010975340206</v>
      </c>
      <c r="H42" s="143">
        <f t="shared" si="8"/>
        <v>0.026579771554900516</v>
      </c>
      <c r="I42" s="143">
        <f t="shared" si="8"/>
        <v>0.0588214662081478</v>
      </c>
      <c r="J42" s="143">
        <f t="shared" si="8"/>
        <v>0.0808797452853294</v>
      </c>
      <c r="K42" s="143">
        <f t="shared" si="8"/>
        <v>0.11241476586202916</v>
      </c>
      <c r="L42" s="143">
        <f t="shared" si="8"/>
        <v>0.052209587051653815</v>
      </c>
      <c r="M42" s="144">
        <f t="shared" si="8"/>
        <v>0.060596046890665</v>
      </c>
    </row>
    <row r="43" spans="1:13" s="84" customFormat="1" ht="150">
      <c r="A43" s="17"/>
      <c r="B43" s="18" t="s">
        <v>131</v>
      </c>
      <c r="C43" s="19" t="s">
        <v>35</v>
      </c>
      <c r="D43" s="146"/>
      <c r="E43" s="146"/>
      <c r="F43" s="147">
        <v>4189.1</v>
      </c>
      <c r="G43" s="141">
        <v>7163</v>
      </c>
      <c r="H43" s="141">
        <v>2308.4</v>
      </c>
      <c r="I43" s="141">
        <v>3689.5</v>
      </c>
      <c r="J43" s="141">
        <v>4127.9</v>
      </c>
      <c r="K43" s="141">
        <v>15676.7</v>
      </c>
      <c r="L43" s="141">
        <v>5439.2</v>
      </c>
      <c r="M43" s="148">
        <v>4327.6</v>
      </c>
    </row>
    <row r="44" spans="1:13" s="84" customFormat="1" ht="75">
      <c r="A44" s="17">
        <v>21</v>
      </c>
      <c r="B44" s="21" t="s">
        <v>201</v>
      </c>
      <c r="C44" s="22" t="s">
        <v>36</v>
      </c>
      <c r="D44" s="149">
        <f>MIN(F44:M44)</f>
        <v>1</v>
      </c>
      <c r="E44" s="149">
        <v>1</v>
      </c>
      <c r="F44" s="163">
        <v>1</v>
      </c>
      <c r="G44" s="163">
        <v>1</v>
      </c>
      <c r="H44" s="163">
        <v>1</v>
      </c>
      <c r="I44" s="163">
        <v>1</v>
      </c>
      <c r="J44" s="163">
        <v>1</v>
      </c>
      <c r="K44" s="163">
        <v>1</v>
      </c>
      <c r="L44" s="163">
        <v>1</v>
      </c>
      <c r="M44" s="163">
        <v>1</v>
      </c>
    </row>
    <row r="45" spans="1:13" s="84" customFormat="1" ht="65.25" customHeight="1" hidden="1">
      <c r="A45" s="17"/>
      <c r="B45" s="18" t="s">
        <v>132</v>
      </c>
      <c r="C45" s="19" t="s">
        <v>36</v>
      </c>
      <c r="D45" s="146"/>
      <c r="E45" s="146"/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2">
        <v>0</v>
      </c>
    </row>
    <row r="46" spans="1:13" s="84" customFormat="1" ht="93.75">
      <c r="A46" s="17">
        <v>22</v>
      </c>
      <c r="B46" s="21" t="s">
        <v>202</v>
      </c>
      <c r="C46" s="22" t="s">
        <v>37</v>
      </c>
      <c r="D46" s="138">
        <f>MIN(F46:M46)</f>
        <v>1</v>
      </c>
      <c r="E46" s="138">
        <v>1</v>
      </c>
      <c r="F46" s="138">
        <v>1</v>
      </c>
      <c r="G46" s="138">
        <v>1</v>
      </c>
      <c r="H46" s="138">
        <v>1</v>
      </c>
      <c r="I46" s="138">
        <v>1</v>
      </c>
      <c r="J46" s="138">
        <v>1</v>
      </c>
      <c r="K46" s="138">
        <v>1</v>
      </c>
      <c r="L46" s="138">
        <v>1</v>
      </c>
      <c r="M46" s="138">
        <v>1</v>
      </c>
    </row>
    <row r="47" spans="1:13" s="84" customFormat="1" ht="131.25">
      <c r="A47" s="17">
        <v>23</v>
      </c>
      <c r="B47" s="21" t="s">
        <v>133</v>
      </c>
      <c r="C47" s="22" t="s">
        <v>38</v>
      </c>
      <c r="D47" s="138">
        <f>MIN(F47:M47)</f>
        <v>0</v>
      </c>
      <c r="E47" s="138">
        <f>MAX(F47:M47)</f>
        <v>1</v>
      </c>
      <c r="F47" s="23">
        <v>1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9">
        <v>0</v>
      </c>
    </row>
    <row r="48" spans="1:13" s="84" customFormat="1" ht="93.75">
      <c r="A48" s="17">
        <v>24</v>
      </c>
      <c r="B48" s="21" t="s">
        <v>134</v>
      </c>
      <c r="C48" s="22" t="s">
        <v>39</v>
      </c>
      <c r="D48" s="138">
        <f>MIN(F48:M48)</f>
        <v>0</v>
      </c>
      <c r="E48" s="138">
        <f>MAX(F48:M48)</f>
        <v>0</v>
      </c>
      <c r="F48" s="140">
        <v>0</v>
      </c>
      <c r="G48" s="140">
        <v>0</v>
      </c>
      <c r="H48" s="140">
        <v>0</v>
      </c>
      <c r="I48" s="140">
        <v>0</v>
      </c>
      <c r="J48" s="140">
        <v>0</v>
      </c>
      <c r="K48" s="140">
        <v>0</v>
      </c>
      <c r="L48" s="140">
        <v>0</v>
      </c>
      <c r="M48" s="139">
        <v>0</v>
      </c>
    </row>
    <row r="49" spans="1:13" s="127" customFormat="1" ht="75" hidden="1">
      <c r="A49" s="121"/>
      <c r="B49" s="122" t="s">
        <v>169</v>
      </c>
      <c r="C49" s="123" t="s">
        <v>170</v>
      </c>
      <c r="D49" s="124">
        <f>MIN(F49:M49)</f>
        <v>0</v>
      </c>
      <c r="E49" s="124">
        <f>MAX(F49:M49)</f>
        <v>0</v>
      </c>
      <c r="F49" s="125"/>
      <c r="G49" s="125"/>
      <c r="H49" s="125"/>
      <c r="I49" s="125"/>
      <c r="J49" s="125"/>
      <c r="K49" s="125"/>
      <c r="L49" s="125"/>
      <c r="M49" s="126"/>
    </row>
    <row r="50" spans="1:13" ht="18.75">
      <c r="A50" s="17"/>
      <c r="B50" s="33" t="s">
        <v>14</v>
      </c>
      <c r="C50" s="19"/>
      <c r="D50" s="20"/>
      <c r="E50" s="20"/>
      <c r="F50" s="133"/>
      <c r="G50" s="133"/>
      <c r="H50" s="133"/>
      <c r="I50" s="133"/>
      <c r="J50" s="133"/>
      <c r="K50" s="133"/>
      <c r="L50" s="133"/>
      <c r="M50" s="134"/>
    </row>
    <row r="51" spans="1:13" ht="56.25">
      <c r="A51" s="17">
        <v>26</v>
      </c>
      <c r="B51" s="21" t="s">
        <v>203</v>
      </c>
      <c r="C51" s="22" t="s">
        <v>40</v>
      </c>
      <c r="D51" s="24">
        <f>MIN(F51:M51)</f>
        <v>1</v>
      </c>
      <c r="E51" s="24">
        <v>1</v>
      </c>
      <c r="F51" s="138">
        <v>1</v>
      </c>
      <c r="G51" s="138">
        <v>1</v>
      </c>
      <c r="H51" s="138">
        <v>1</v>
      </c>
      <c r="I51" s="138">
        <v>1</v>
      </c>
      <c r="J51" s="138">
        <v>1</v>
      </c>
      <c r="K51" s="138">
        <v>1</v>
      </c>
      <c r="L51" s="138">
        <v>1</v>
      </c>
      <c r="M51" s="138">
        <v>1</v>
      </c>
    </row>
    <row r="52" spans="1:13" ht="60" customHeight="1">
      <c r="A52" s="17"/>
      <c r="B52" s="21" t="s">
        <v>204</v>
      </c>
      <c r="C52" s="22" t="s">
        <v>41</v>
      </c>
      <c r="D52" s="24">
        <f>MIN(F52:M52)</f>
        <v>1</v>
      </c>
      <c r="E52" s="24">
        <v>1</v>
      </c>
      <c r="F52" s="138">
        <v>1</v>
      </c>
      <c r="G52" s="138">
        <v>1</v>
      </c>
      <c r="H52" s="138">
        <v>1</v>
      </c>
      <c r="I52" s="138">
        <v>1</v>
      </c>
      <c r="J52" s="138">
        <v>1</v>
      </c>
      <c r="K52" s="138">
        <v>1</v>
      </c>
      <c r="L52" s="138">
        <v>1</v>
      </c>
      <c r="M52" s="138">
        <v>1</v>
      </c>
    </row>
    <row r="53" spans="1:13" ht="56.25" hidden="1">
      <c r="A53" s="17"/>
      <c r="B53" s="116" t="s">
        <v>106</v>
      </c>
      <c r="C53" s="117" t="s">
        <v>41</v>
      </c>
      <c r="D53" s="119"/>
      <c r="E53" s="119"/>
      <c r="F53" s="119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2">
        <v>0</v>
      </c>
    </row>
    <row r="54" spans="1:13" ht="56.25" hidden="1">
      <c r="A54" s="17"/>
      <c r="B54" s="116" t="s">
        <v>107</v>
      </c>
      <c r="C54" s="117" t="s">
        <v>41</v>
      </c>
      <c r="D54" s="119"/>
      <c r="E54" s="119"/>
      <c r="F54" s="119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2">
        <v>0</v>
      </c>
    </row>
    <row r="55" spans="1:13" ht="18.75">
      <c r="A55" s="17"/>
      <c r="B55" s="21" t="s">
        <v>92</v>
      </c>
      <c r="C55" s="22" t="s">
        <v>94</v>
      </c>
      <c r="D55" s="24">
        <f>MIN(F55:M55)</f>
        <v>0</v>
      </c>
      <c r="E55" s="24">
        <f>MAX(F55:M55)</f>
        <v>0</v>
      </c>
      <c r="F55" s="149">
        <f>_xlfn.IFERROR(Данные!F56/(Данные!F57),0)</f>
        <v>0</v>
      </c>
      <c r="G55" s="149">
        <f>_xlfn.IFERROR(Данные!G56/(Данные!G57),0)</f>
        <v>0</v>
      </c>
      <c r="H55" s="149">
        <f>_xlfn.IFERROR(Данные!H56/(Данные!H57),0)</f>
        <v>0</v>
      </c>
      <c r="I55" s="149">
        <f>_xlfn.IFERROR(Данные!I56/(Данные!I57),0)</f>
        <v>0</v>
      </c>
      <c r="J55" s="149">
        <f>_xlfn.IFERROR(Данные!J56/(Данные!J57),0)</f>
        <v>0</v>
      </c>
      <c r="K55" s="149">
        <f>_xlfn.IFERROR(Данные!K56/(Данные!K57),0)</f>
        <v>0</v>
      </c>
      <c r="L55" s="149">
        <f>_xlfn.IFERROR(Данные!L56/(Данные!L57),0)</f>
        <v>0</v>
      </c>
      <c r="M55" s="149">
        <f>_xlfn.IFERROR(Данные!M56/(Данные!M57),0)</f>
        <v>0</v>
      </c>
    </row>
    <row r="56" spans="1:13" ht="56.25">
      <c r="A56" s="17">
        <v>25</v>
      </c>
      <c r="B56" s="18" t="s">
        <v>108</v>
      </c>
      <c r="C56" s="19" t="s">
        <v>94</v>
      </c>
      <c r="D56" s="20"/>
      <c r="E56" s="20"/>
      <c r="F56" s="147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2">
        <v>0</v>
      </c>
    </row>
    <row r="57" spans="1:13" ht="56.25">
      <c r="A57" s="17"/>
      <c r="B57" s="18" t="s">
        <v>137</v>
      </c>
      <c r="C57" s="19" t="s">
        <v>94</v>
      </c>
      <c r="D57" s="20"/>
      <c r="E57" s="20"/>
      <c r="F57" s="141">
        <v>229036.7</v>
      </c>
      <c r="G57" s="141">
        <v>170455.6</v>
      </c>
      <c r="H57" s="141">
        <v>86164.7</v>
      </c>
      <c r="I57" s="141">
        <v>62345.4</v>
      </c>
      <c r="J57" s="141">
        <v>38383.3</v>
      </c>
      <c r="K57" s="141">
        <v>139268.5</v>
      </c>
      <c r="L57" s="141">
        <v>95611.2</v>
      </c>
      <c r="M57" s="142">
        <v>38383.3</v>
      </c>
    </row>
    <row r="58" spans="1:13" ht="18.75">
      <c r="A58" s="17"/>
      <c r="B58" s="27" t="s">
        <v>15</v>
      </c>
      <c r="C58" s="19"/>
      <c r="D58" s="29"/>
      <c r="E58" s="29"/>
      <c r="F58" s="136"/>
      <c r="G58" s="136"/>
      <c r="H58" s="136"/>
      <c r="I58" s="136"/>
      <c r="J58" s="136"/>
      <c r="K58" s="136"/>
      <c r="L58" s="136"/>
      <c r="M58" s="134"/>
    </row>
    <row r="59" spans="1:13" ht="75">
      <c r="A59" s="17">
        <v>27</v>
      </c>
      <c r="B59" s="21" t="s">
        <v>192</v>
      </c>
      <c r="C59" s="22" t="s">
        <v>42</v>
      </c>
      <c r="D59" s="36">
        <f>MIN(F59:M59)</f>
        <v>0</v>
      </c>
      <c r="E59" s="36">
        <f>MAX(F59:M59)</f>
        <v>1</v>
      </c>
      <c r="F59" s="143">
        <f>F60/F61</f>
        <v>0.5</v>
      </c>
      <c r="G59" s="143">
        <f aca="true" t="shared" si="9" ref="G59:M59">G60/G61</f>
        <v>0.6666666666666666</v>
      </c>
      <c r="H59" s="143">
        <f t="shared" si="9"/>
        <v>0</v>
      </c>
      <c r="I59" s="143">
        <f t="shared" si="9"/>
        <v>0.5</v>
      </c>
      <c r="J59" s="143">
        <f t="shared" si="9"/>
        <v>0.6666666666666666</v>
      </c>
      <c r="K59" s="143">
        <f t="shared" si="9"/>
        <v>1</v>
      </c>
      <c r="L59" s="143">
        <f t="shared" si="9"/>
        <v>1</v>
      </c>
      <c r="M59" s="143">
        <f t="shared" si="9"/>
        <v>1</v>
      </c>
    </row>
    <row r="60" spans="1:13" ht="75">
      <c r="A60" s="17"/>
      <c r="B60" s="129" t="s">
        <v>208</v>
      </c>
      <c r="C60" s="130"/>
      <c r="D60" s="131"/>
      <c r="E60" s="131"/>
      <c r="F60" s="150">
        <v>1</v>
      </c>
      <c r="G60" s="150">
        <v>2</v>
      </c>
      <c r="H60" s="150">
        <v>0</v>
      </c>
      <c r="I60" s="150">
        <v>1</v>
      </c>
      <c r="J60" s="150">
        <v>2</v>
      </c>
      <c r="K60" s="150">
        <v>3</v>
      </c>
      <c r="L60" s="150">
        <v>2</v>
      </c>
      <c r="M60" s="151">
        <v>2</v>
      </c>
    </row>
    <row r="61" spans="1:13" ht="37.5">
      <c r="A61" s="17"/>
      <c r="B61" s="129" t="s">
        <v>207</v>
      </c>
      <c r="C61" s="130"/>
      <c r="D61" s="131"/>
      <c r="E61" s="131"/>
      <c r="F61" s="150">
        <v>2</v>
      </c>
      <c r="G61" s="150">
        <v>3</v>
      </c>
      <c r="H61" s="150">
        <v>2</v>
      </c>
      <c r="I61" s="150">
        <v>2</v>
      </c>
      <c r="J61" s="150">
        <v>3</v>
      </c>
      <c r="K61" s="150">
        <v>3</v>
      </c>
      <c r="L61" s="150">
        <v>2</v>
      </c>
      <c r="M61" s="151">
        <v>2</v>
      </c>
    </row>
    <row r="62" spans="1:13" ht="97.5" customHeight="1">
      <c r="A62" s="17">
        <v>28</v>
      </c>
      <c r="B62" s="21" t="s">
        <v>194</v>
      </c>
      <c r="C62" s="22" t="s">
        <v>43</v>
      </c>
      <c r="D62" s="23">
        <f>MIN(F62:M62)</f>
        <v>0</v>
      </c>
      <c r="E62" s="23">
        <f>MAX(F62:M62)</f>
        <v>0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9">
        <v>0</v>
      </c>
    </row>
    <row r="63" spans="1:13" ht="104.25" customHeight="1">
      <c r="A63" s="17">
        <v>29</v>
      </c>
      <c r="B63" s="21" t="s">
        <v>135</v>
      </c>
      <c r="C63" s="22" t="s">
        <v>44</v>
      </c>
      <c r="D63" s="23">
        <f>MIN(F63:M63)</f>
        <v>0</v>
      </c>
      <c r="E63" s="23">
        <f>MAX(F63:M63)</f>
        <v>1</v>
      </c>
      <c r="F63" s="138">
        <v>1</v>
      </c>
      <c r="G63" s="138">
        <v>0</v>
      </c>
      <c r="H63" s="138">
        <v>0</v>
      </c>
      <c r="I63" s="138">
        <v>1</v>
      </c>
      <c r="J63" s="138">
        <v>0</v>
      </c>
      <c r="K63" s="138">
        <v>1</v>
      </c>
      <c r="L63" s="138">
        <v>0</v>
      </c>
      <c r="M63" s="139">
        <v>0</v>
      </c>
    </row>
    <row r="64" spans="1:13" ht="93.75">
      <c r="A64" s="17">
        <v>30</v>
      </c>
      <c r="B64" s="21" t="s">
        <v>195</v>
      </c>
      <c r="C64" s="22" t="s">
        <v>45</v>
      </c>
      <c r="D64" s="23" t="e">
        <f>MIN(F64:M64)</f>
        <v>#DIV/0!</v>
      </c>
      <c r="E64" s="23" t="e">
        <f>MAX(F64:M64)</f>
        <v>#DIV/0!</v>
      </c>
      <c r="F64" s="143" t="e">
        <f>F65/F66</f>
        <v>#DIV/0!</v>
      </c>
      <c r="G64" s="143" t="e">
        <f aca="true" t="shared" si="10" ref="G64:M64">G65/G66</f>
        <v>#DIV/0!</v>
      </c>
      <c r="H64" s="143" t="e">
        <f t="shared" si="10"/>
        <v>#DIV/0!</v>
      </c>
      <c r="I64" s="143" t="e">
        <f t="shared" si="10"/>
        <v>#DIV/0!</v>
      </c>
      <c r="J64" s="143" t="e">
        <f t="shared" si="10"/>
        <v>#DIV/0!</v>
      </c>
      <c r="K64" s="143">
        <f t="shared" si="10"/>
        <v>0</v>
      </c>
      <c r="L64" s="143" t="e">
        <f t="shared" si="10"/>
        <v>#DIV/0!</v>
      </c>
      <c r="M64" s="143" t="e">
        <f t="shared" si="10"/>
        <v>#DIV/0!</v>
      </c>
    </row>
    <row r="65" spans="1:13" ht="112.5">
      <c r="A65" s="17"/>
      <c r="B65" s="18" t="s">
        <v>205</v>
      </c>
      <c r="C65" s="19" t="s">
        <v>45</v>
      </c>
      <c r="D65" s="20"/>
      <c r="E65" s="20"/>
      <c r="F65" s="147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2">
        <v>0</v>
      </c>
    </row>
    <row r="66" spans="1:13" ht="75">
      <c r="A66" s="17"/>
      <c r="B66" s="18" t="s">
        <v>206</v>
      </c>
      <c r="C66" s="19" t="s">
        <v>45</v>
      </c>
      <c r="D66" s="20"/>
      <c r="E66" s="20"/>
      <c r="F66" s="147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1</v>
      </c>
      <c r="L66" s="141">
        <v>0</v>
      </c>
      <c r="M66" s="142">
        <v>0</v>
      </c>
    </row>
    <row r="67" spans="1:13" ht="112.5">
      <c r="A67" s="17">
        <v>31</v>
      </c>
      <c r="B67" s="21" t="s">
        <v>74</v>
      </c>
      <c r="C67" s="22" t="s">
        <v>46</v>
      </c>
      <c r="D67" s="23">
        <f>MIN(F67:M67)</f>
        <v>0</v>
      </c>
      <c r="E67" s="23">
        <f>MAX(F67:M67)</f>
        <v>0.39176981257490456</v>
      </c>
      <c r="F67" s="143">
        <f aca="true" t="shared" si="11" ref="F67:M67">F68/(F84-F69)*100</f>
        <v>0</v>
      </c>
      <c r="G67" s="143">
        <f t="shared" si="11"/>
        <v>0</v>
      </c>
      <c r="H67" s="143">
        <f t="shared" si="11"/>
        <v>0</v>
      </c>
      <c r="I67" s="143">
        <f t="shared" si="11"/>
        <v>0</v>
      </c>
      <c r="J67" s="143">
        <f t="shared" si="11"/>
        <v>0</v>
      </c>
      <c r="K67" s="143">
        <f t="shared" si="11"/>
        <v>0.39176981257490456</v>
      </c>
      <c r="L67" s="143">
        <f t="shared" si="11"/>
        <v>0</v>
      </c>
      <c r="M67" s="143">
        <f t="shared" si="11"/>
        <v>0</v>
      </c>
    </row>
    <row r="68" spans="1:13" ht="78.75" customHeight="1">
      <c r="A68" s="17"/>
      <c r="B68" s="18" t="s">
        <v>136</v>
      </c>
      <c r="C68" s="19" t="s">
        <v>46</v>
      </c>
      <c r="D68" s="20"/>
      <c r="E68" s="20"/>
      <c r="F68" s="147">
        <v>0</v>
      </c>
      <c r="G68" s="141">
        <v>0</v>
      </c>
      <c r="H68" s="141">
        <v>0</v>
      </c>
      <c r="I68" s="141">
        <v>0</v>
      </c>
      <c r="J68" s="141">
        <v>0</v>
      </c>
      <c r="K68" s="141">
        <v>544.6</v>
      </c>
      <c r="L68" s="141">
        <v>0</v>
      </c>
      <c r="M68" s="142">
        <v>0</v>
      </c>
    </row>
    <row r="69" spans="1:13" s="84" customFormat="1" ht="66" customHeight="1">
      <c r="A69" s="17"/>
      <c r="B69" s="18" t="s">
        <v>213</v>
      </c>
      <c r="C69" s="19" t="s">
        <v>46</v>
      </c>
      <c r="D69" s="146"/>
      <c r="E69" s="146"/>
      <c r="F69" s="147">
        <v>1807.2</v>
      </c>
      <c r="G69" s="141">
        <v>1148</v>
      </c>
      <c r="H69" s="141">
        <v>155.5</v>
      </c>
      <c r="I69" s="141">
        <v>205.4</v>
      </c>
      <c r="J69" s="141">
        <v>154.6</v>
      </c>
      <c r="K69" s="141">
        <v>443.9</v>
      </c>
      <c r="L69" s="141">
        <v>730.3</v>
      </c>
      <c r="M69" s="142">
        <v>163.2</v>
      </c>
    </row>
    <row r="70" spans="1:13" ht="65.25" customHeight="1">
      <c r="A70" s="17">
        <v>32</v>
      </c>
      <c r="B70" s="21" t="s">
        <v>4</v>
      </c>
      <c r="C70" s="22" t="s">
        <v>47</v>
      </c>
      <c r="D70" s="23">
        <f>MIN(F70:M70)</f>
        <v>0</v>
      </c>
      <c r="E70" s="23">
        <f>MAX(F70:M70)</f>
        <v>0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9">
        <v>0</v>
      </c>
    </row>
    <row r="71" spans="1:13" ht="37.5">
      <c r="A71" s="17"/>
      <c r="B71" s="38" t="s">
        <v>16</v>
      </c>
      <c r="C71" s="22" t="s">
        <v>48</v>
      </c>
      <c r="D71" s="23">
        <f>MIN(F71:M71)</f>
        <v>0</v>
      </c>
      <c r="E71" s="23">
        <f>MAX(F71:M71)</f>
        <v>0.3333333333333333</v>
      </c>
      <c r="F71" s="138">
        <f>(Данные!F73+Данные!F74)/(Данные!F72)</f>
        <v>0</v>
      </c>
      <c r="G71" s="138">
        <f>(Данные!G73+Данные!G74)/(Данные!G72)</f>
        <v>0</v>
      </c>
      <c r="H71" s="138">
        <f>(Данные!H73+Данные!H74)/(Данные!H72)</f>
        <v>0</v>
      </c>
      <c r="I71" s="138">
        <f>(Данные!I73+Данные!I74)/(Данные!I72)</f>
        <v>0</v>
      </c>
      <c r="J71" s="138">
        <f>(Данные!J73+Данные!J74)/(Данные!J72)</f>
        <v>0</v>
      </c>
      <c r="K71" s="149">
        <f>(Данные!K73+Данные!K74)/(Данные!K72)</f>
        <v>0.3333333333333333</v>
      </c>
      <c r="L71" s="138">
        <f>(Данные!L73+Данные!L74)/(Данные!L72)</f>
        <v>0</v>
      </c>
      <c r="M71" s="138">
        <f>(Данные!M73+Данные!M74)/(Данные!M72)</f>
        <v>0</v>
      </c>
    </row>
    <row r="72" spans="1:13" s="84" customFormat="1" ht="56.25">
      <c r="A72" s="17">
        <v>33</v>
      </c>
      <c r="B72" s="18" t="s">
        <v>73</v>
      </c>
      <c r="C72" s="19" t="s">
        <v>48</v>
      </c>
      <c r="D72" s="146"/>
      <c r="E72" s="146"/>
      <c r="F72" s="150">
        <v>2</v>
      </c>
      <c r="G72" s="150">
        <v>3</v>
      </c>
      <c r="H72" s="150">
        <v>2</v>
      </c>
      <c r="I72" s="150">
        <v>2</v>
      </c>
      <c r="J72" s="150">
        <v>3</v>
      </c>
      <c r="K72" s="150">
        <v>3</v>
      </c>
      <c r="L72" s="150">
        <v>2</v>
      </c>
      <c r="M72" s="151">
        <v>2</v>
      </c>
    </row>
    <row r="73" spans="1:13" s="84" customFormat="1" ht="56.25">
      <c r="A73" s="17">
        <v>34</v>
      </c>
      <c r="B73" s="18" t="s">
        <v>75</v>
      </c>
      <c r="C73" s="19" t="s">
        <v>48</v>
      </c>
      <c r="D73" s="146"/>
      <c r="E73" s="146"/>
      <c r="F73" s="98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1</v>
      </c>
      <c r="L73" s="146">
        <v>0</v>
      </c>
      <c r="M73" s="152">
        <v>0</v>
      </c>
    </row>
    <row r="74" spans="1:13" s="84" customFormat="1" ht="56.25">
      <c r="A74" s="17">
        <v>35</v>
      </c>
      <c r="B74" s="18" t="s">
        <v>76</v>
      </c>
      <c r="C74" s="19" t="s">
        <v>48</v>
      </c>
      <c r="D74" s="146"/>
      <c r="E74" s="146"/>
      <c r="F74" s="98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52">
        <v>0</v>
      </c>
    </row>
    <row r="75" spans="1:13" ht="18.75">
      <c r="A75" s="17"/>
      <c r="B75" s="33" t="s">
        <v>151</v>
      </c>
      <c r="C75" s="19"/>
      <c r="D75" s="20"/>
      <c r="E75" s="20"/>
      <c r="F75" s="118"/>
      <c r="G75" s="118"/>
      <c r="H75" s="118"/>
      <c r="I75" s="118"/>
      <c r="J75" s="118"/>
      <c r="K75" s="118"/>
      <c r="L75" s="118"/>
      <c r="M75" s="134"/>
    </row>
    <row r="76" spans="1:13" ht="93.75">
      <c r="A76" s="17">
        <v>36</v>
      </c>
      <c r="B76" s="21" t="s">
        <v>18</v>
      </c>
      <c r="C76" s="22" t="s">
        <v>49</v>
      </c>
      <c r="D76" s="23">
        <f>MIN(F76:M76)</f>
        <v>1</v>
      </c>
      <c r="E76" s="23">
        <f>MAX(F76:M76)</f>
        <v>1</v>
      </c>
      <c r="F76" s="138">
        <v>1</v>
      </c>
      <c r="G76" s="138">
        <v>1</v>
      </c>
      <c r="H76" s="138">
        <v>1</v>
      </c>
      <c r="I76" s="138">
        <v>1</v>
      </c>
      <c r="J76" s="138">
        <v>1</v>
      </c>
      <c r="K76" s="138">
        <v>1</v>
      </c>
      <c r="L76" s="138">
        <v>1</v>
      </c>
      <c r="M76" s="139">
        <v>1</v>
      </c>
    </row>
    <row r="77" spans="1:13" ht="75">
      <c r="A77" s="17">
        <v>37</v>
      </c>
      <c r="B77" s="21" t="s">
        <v>77</v>
      </c>
      <c r="C77" s="22" t="s">
        <v>50</v>
      </c>
      <c r="D77" s="23">
        <f aca="true" t="shared" si="12" ref="D77:D82">MIN(F77:M77)</f>
        <v>0</v>
      </c>
      <c r="E77" s="23">
        <f aca="true" t="shared" si="13" ref="E77:E82">MAX(F77:M77)</f>
        <v>1</v>
      </c>
      <c r="F77" s="138">
        <v>1</v>
      </c>
      <c r="G77" s="138">
        <v>1</v>
      </c>
      <c r="H77" s="138">
        <v>0</v>
      </c>
      <c r="I77" s="138">
        <v>0</v>
      </c>
      <c r="J77" s="138">
        <v>1</v>
      </c>
      <c r="K77" s="138">
        <v>1</v>
      </c>
      <c r="L77" s="138">
        <v>0</v>
      </c>
      <c r="M77" s="139">
        <v>1</v>
      </c>
    </row>
    <row r="78" spans="1:13" ht="62.25" customHeight="1">
      <c r="A78" s="17">
        <v>38</v>
      </c>
      <c r="B78" s="21" t="s">
        <v>209</v>
      </c>
      <c r="C78" s="22" t="s">
        <v>51</v>
      </c>
      <c r="D78" s="23">
        <f t="shared" si="12"/>
        <v>0</v>
      </c>
      <c r="E78" s="23">
        <f t="shared" si="13"/>
        <v>1</v>
      </c>
      <c r="F78" s="138">
        <v>1</v>
      </c>
      <c r="G78" s="138">
        <v>1</v>
      </c>
      <c r="H78" s="138">
        <v>0</v>
      </c>
      <c r="I78" s="138">
        <v>1</v>
      </c>
      <c r="J78" s="138">
        <v>1</v>
      </c>
      <c r="K78" s="138">
        <v>1</v>
      </c>
      <c r="L78" s="138">
        <v>1</v>
      </c>
      <c r="M78" s="139">
        <v>1</v>
      </c>
    </row>
    <row r="79" spans="1:13" ht="87.75" customHeight="1">
      <c r="A79" s="17">
        <v>39</v>
      </c>
      <c r="B79" s="21" t="s">
        <v>2</v>
      </c>
      <c r="C79" s="22" t="s">
        <v>52</v>
      </c>
      <c r="D79" s="23">
        <f t="shared" si="12"/>
        <v>0</v>
      </c>
      <c r="E79" s="23">
        <f t="shared" si="13"/>
        <v>1</v>
      </c>
      <c r="F79" s="138">
        <v>1</v>
      </c>
      <c r="G79" s="138">
        <v>1</v>
      </c>
      <c r="H79" s="138">
        <v>0</v>
      </c>
      <c r="I79" s="138">
        <v>1</v>
      </c>
      <c r="J79" s="138">
        <v>1</v>
      </c>
      <c r="K79" s="138">
        <v>1</v>
      </c>
      <c r="L79" s="138">
        <v>0</v>
      </c>
      <c r="M79" s="139">
        <v>1</v>
      </c>
    </row>
    <row r="80" spans="1:13" ht="94.5" customHeight="1">
      <c r="A80" s="17">
        <v>40</v>
      </c>
      <c r="B80" s="21" t="s">
        <v>3</v>
      </c>
      <c r="C80" s="22" t="s">
        <v>53</v>
      </c>
      <c r="D80" s="23">
        <f t="shared" si="12"/>
        <v>0</v>
      </c>
      <c r="E80" s="23">
        <f t="shared" si="13"/>
        <v>1</v>
      </c>
      <c r="F80" s="138">
        <v>1</v>
      </c>
      <c r="G80" s="138">
        <v>1</v>
      </c>
      <c r="H80" s="138">
        <v>1</v>
      </c>
      <c r="I80" s="138">
        <v>0</v>
      </c>
      <c r="J80" s="138">
        <v>1</v>
      </c>
      <c r="K80" s="138">
        <v>1</v>
      </c>
      <c r="L80" s="138">
        <v>0</v>
      </c>
      <c r="M80" s="139">
        <v>1</v>
      </c>
    </row>
    <row r="81" spans="1:13" ht="157.5" customHeight="1">
      <c r="A81" s="17">
        <v>41</v>
      </c>
      <c r="B81" s="21" t="s">
        <v>214</v>
      </c>
      <c r="C81" s="22" t="s">
        <v>67</v>
      </c>
      <c r="D81" s="23">
        <f t="shared" si="12"/>
        <v>0</v>
      </c>
      <c r="E81" s="23">
        <f t="shared" si="13"/>
        <v>1</v>
      </c>
      <c r="F81" s="124">
        <v>1</v>
      </c>
      <c r="G81" s="138">
        <v>1</v>
      </c>
      <c r="H81" s="138">
        <v>0</v>
      </c>
      <c r="I81" s="138">
        <v>0</v>
      </c>
      <c r="J81" s="138">
        <v>1</v>
      </c>
      <c r="K81" s="138">
        <v>1</v>
      </c>
      <c r="L81" s="138">
        <v>0</v>
      </c>
      <c r="M81" s="139">
        <v>1</v>
      </c>
    </row>
    <row r="82" spans="1:13" ht="59.25" customHeight="1">
      <c r="A82" s="17">
        <v>42</v>
      </c>
      <c r="B82" s="21" t="s">
        <v>79</v>
      </c>
      <c r="C82" s="22" t="s">
        <v>68</v>
      </c>
      <c r="D82" s="23">
        <f t="shared" si="12"/>
        <v>0</v>
      </c>
      <c r="E82" s="23">
        <f t="shared" si="13"/>
        <v>0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9">
        <v>0</v>
      </c>
    </row>
    <row r="83" spans="1:13" s="84" customFormat="1" ht="51" customHeight="1">
      <c r="A83" s="17">
        <v>9</v>
      </c>
      <c r="B83" s="18" t="s">
        <v>71</v>
      </c>
      <c r="C83" s="19"/>
      <c r="D83" s="146">
        <f>MIN(F83:L83)</f>
        <v>0</v>
      </c>
      <c r="E83" s="146">
        <f>MAX(F83:L83)</f>
        <v>0</v>
      </c>
      <c r="F83" s="141"/>
      <c r="G83" s="141"/>
      <c r="H83" s="141"/>
      <c r="I83" s="141"/>
      <c r="J83" s="141"/>
      <c r="K83" s="141"/>
      <c r="L83" s="141"/>
      <c r="M83" s="145"/>
    </row>
    <row r="84" spans="1:13" ht="28.5" customHeight="1">
      <c r="A84" s="17">
        <v>10</v>
      </c>
      <c r="B84" s="18" t="s">
        <v>72</v>
      </c>
      <c r="C84" s="19"/>
      <c r="D84" s="20">
        <f>MIN(F84:L84)</f>
        <v>51037.5</v>
      </c>
      <c r="E84" s="20">
        <f>MAX(F84:L84)</f>
        <v>198930</v>
      </c>
      <c r="F84" s="141">
        <v>198930</v>
      </c>
      <c r="G84" s="141">
        <v>185042.1</v>
      </c>
      <c r="H84" s="141">
        <v>86848</v>
      </c>
      <c r="I84" s="141">
        <v>62723.7</v>
      </c>
      <c r="J84" s="141">
        <v>51037.5</v>
      </c>
      <c r="K84" s="141">
        <v>139454.1</v>
      </c>
      <c r="L84" s="141">
        <v>104180.1</v>
      </c>
      <c r="M84" s="145">
        <v>71417.2</v>
      </c>
    </row>
    <row r="85" spans="1:13" ht="22.5" customHeight="1">
      <c r="A85" s="17"/>
      <c r="B85" s="18" t="s">
        <v>81</v>
      </c>
      <c r="C85" s="19"/>
      <c r="D85" s="20"/>
      <c r="E85" s="20"/>
      <c r="F85" s="137"/>
      <c r="G85" s="137"/>
      <c r="H85" s="137"/>
      <c r="I85" s="137"/>
      <c r="J85" s="137"/>
      <c r="K85" s="137"/>
      <c r="L85" s="137"/>
      <c r="M85" s="134"/>
    </row>
    <row r="86" spans="1:13" ht="56.25">
      <c r="A86" s="17">
        <v>43</v>
      </c>
      <c r="B86" s="18" t="s">
        <v>78</v>
      </c>
      <c r="C86" s="19" t="s">
        <v>59</v>
      </c>
      <c r="D86" s="20">
        <f>MIN(F86:M86)</f>
        <v>0</v>
      </c>
      <c r="E86" s="20">
        <f>MAX(F86:M86)</f>
        <v>0</v>
      </c>
      <c r="F86" s="106">
        <v>0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52">
        <v>0</v>
      </c>
    </row>
    <row r="87" spans="1:13" ht="112.5">
      <c r="A87" s="17">
        <v>44</v>
      </c>
      <c r="B87" s="18" t="s">
        <v>65</v>
      </c>
      <c r="C87" s="19" t="s">
        <v>60</v>
      </c>
      <c r="D87" s="20">
        <f>MIN(F87:M87)</f>
        <v>0</v>
      </c>
      <c r="E87" s="20">
        <f>MAX(F87:M87)</f>
        <v>0</v>
      </c>
      <c r="F87" s="159">
        <v>0</v>
      </c>
      <c r="G87" s="159">
        <v>0</v>
      </c>
      <c r="H87" s="159">
        <v>0</v>
      </c>
      <c r="I87" s="159">
        <v>0</v>
      </c>
      <c r="J87" s="159">
        <v>0</v>
      </c>
      <c r="K87" s="159">
        <v>0</v>
      </c>
      <c r="L87" s="159">
        <v>0</v>
      </c>
      <c r="M87" s="159">
        <v>0</v>
      </c>
    </row>
    <row r="88" spans="1:13" ht="112.5">
      <c r="A88" s="17">
        <v>45</v>
      </c>
      <c r="B88" s="18" t="s">
        <v>63</v>
      </c>
      <c r="C88" s="19" t="s">
        <v>61</v>
      </c>
      <c r="D88" s="20">
        <f>MIN(F88:M88)</f>
        <v>0</v>
      </c>
      <c r="E88" s="20">
        <f>MAX(F88:M88)</f>
        <v>0</v>
      </c>
      <c r="F88" s="160">
        <v>0</v>
      </c>
      <c r="G88" s="160">
        <v>0</v>
      </c>
      <c r="H88" s="160">
        <v>0</v>
      </c>
      <c r="I88" s="160">
        <v>0</v>
      </c>
      <c r="J88" s="160">
        <v>0</v>
      </c>
      <c r="K88" s="160">
        <v>0</v>
      </c>
      <c r="L88" s="160">
        <v>0</v>
      </c>
      <c r="M88" s="160">
        <v>0</v>
      </c>
    </row>
    <row r="89" spans="1:13" ht="409.5">
      <c r="A89" s="17">
        <v>46</v>
      </c>
      <c r="B89" s="18" t="s">
        <v>159</v>
      </c>
      <c r="C89" s="19" t="s">
        <v>62</v>
      </c>
      <c r="D89" s="20">
        <f>MIN(F89:M89)</f>
        <v>0</v>
      </c>
      <c r="E89" s="20">
        <f>MAX(F89:M89)</f>
        <v>0</v>
      </c>
      <c r="F89" s="161">
        <v>0</v>
      </c>
      <c r="G89" s="160">
        <v>0</v>
      </c>
      <c r="H89" s="160">
        <v>0</v>
      </c>
      <c r="I89" s="160">
        <v>0</v>
      </c>
      <c r="J89" s="160">
        <v>0</v>
      </c>
      <c r="K89" s="160">
        <v>0</v>
      </c>
      <c r="L89" s="160">
        <v>0</v>
      </c>
      <c r="M89" s="160">
        <v>0</v>
      </c>
    </row>
    <row r="90" spans="1:13" ht="262.5">
      <c r="A90" s="17">
        <v>47</v>
      </c>
      <c r="B90" s="18" t="s">
        <v>160</v>
      </c>
      <c r="C90" s="19" t="s">
        <v>99</v>
      </c>
      <c r="D90" s="20">
        <f>MIN(F90:M90)</f>
        <v>0</v>
      </c>
      <c r="E90" s="20">
        <f>MAX(F90:M90)</f>
        <v>0</v>
      </c>
      <c r="F90" s="160">
        <v>0</v>
      </c>
      <c r="G90" s="160">
        <v>0</v>
      </c>
      <c r="H90" s="160">
        <v>0</v>
      </c>
      <c r="I90" s="160">
        <v>0</v>
      </c>
      <c r="J90" s="160">
        <v>0</v>
      </c>
      <c r="K90" s="160">
        <v>0</v>
      </c>
      <c r="L90" s="160">
        <v>0</v>
      </c>
      <c r="M90" s="160">
        <v>0</v>
      </c>
    </row>
  </sheetData>
  <sheetProtection/>
  <mergeCells count="2">
    <mergeCell ref="B2:L3"/>
    <mergeCell ref="K1:L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Pokatovich</dc:creator>
  <cp:keywords/>
  <dc:description/>
  <cp:lastModifiedBy>Феоктистова Татьяна Павловна</cp:lastModifiedBy>
  <cp:lastPrinted>2016-07-20T11:07:52Z</cp:lastPrinted>
  <dcterms:created xsi:type="dcterms:W3CDTF">2010-12-18T23:19:43Z</dcterms:created>
  <dcterms:modified xsi:type="dcterms:W3CDTF">2017-10-18T06:55:29Z</dcterms:modified>
  <cp:category/>
  <cp:version/>
  <cp:contentType/>
  <cp:contentStatus/>
</cp:coreProperties>
</file>